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W:\УЦКСЭиР\17.02.01.01-16 Проведение закупок 2023 г\БСК\948.15082023.КО\Документация о закупке\Обезличенное\"/>
    </mc:Choice>
  </mc:AlternateContent>
  <bookViews>
    <workbookView xWindow="0" yWindow="60" windowWidth="15480" windowHeight="7365" tabRatio="682"/>
  </bookViews>
  <sheets>
    <sheet name="Сводная смета" sheetId="1" r:id="rId1"/>
    <sheet name="№1_Геодезически" sheetId="5" r:id="rId2"/>
    <sheet name="№2_Геологически" sheetId="6" r:id="rId3"/>
    <sheet name="№3_Разработка_п" sheetId="7" r:id="rId4"/>
  </sheets>
  <definedNames>
    <definedName name="_xlnm.Print_Titles" localSheetId="1">№1_Геодезически!$16:$17</definedName>
    <definedName name="_xlnm.Print_Titles" localSheetId="2">№2_Геологически!$17:$18</definedName>
  </definedNames>
  <calcPr calcId="162913"/>
</workbook>
</file>

<file path=xl/calcChain.xml><?xml version="1.0" encoding="utf-8"?>
<calcChain xmlns="http://schemas.openxmlformats.org/spreadsheetml/2006/main">
  <c r="G20" i="6" l="1"/>
  <c r="G27" i="6"/>
  <c r="G35" i="6"/>
  <c r="G42" i="6"/>
  <c r="G49" i="6"/>
  <c r="G56" i="6"/>
  <c r="G66" i="6"/>
  <c r="G95" i="6" s="1"/>
  <c r="G96" i="6" s="1"/>
  <c r="G73" i="6"/>
  <c r="G81" i="6"/>
  <c r="G88" i="6"/>
  <c r="G98" i="6"/>
  <c r="G105" i="6"/>
  <c r="G112" i="6"/>
  <c r="G119" i="6"/>
  <c r="G126" i="6"/>
  <c r="G134" i="6"/>
  <c r="G143" i="6"/>
  <c r="G144" i="6"/>
  <c r="G19" i="5"/>
  <c r="G26" i="5"/>
  <c r="G33" i="5"/>
  <c r="G55" i="5" s="1"/>
  <c r="G56" i="5" s="1"/>
  <c r="G92" i="5" s="1"/>
  <c r="G93" i="5" s="1"/>
  <c r="G94" i="5" s="1"/>
  <c r="G95" i="5" s="1"/>
  <c r="G40" i="5"/>
  <c r="G48" i="5"/>
  <c r="G58" i="5"/>
  <c r="G65" i="5"/>
  <c r="G72" i="5"/>
  <c r="G85" i="5" s="1"/>
  <c r="G86" i="5" s="1"/>
  <c r="G78" i="5"/>
  <c r="G88" i="5"/>
  <c r="G89" i="5"/>
  <c r="G90" i="5"/>
  <c r="F23" i="1"/>
  <c r="F24" i="1" s="1"/>
  <c r="E23" i="1"/>
  <c r="E24" i="1" s="1"/>
  <c r="D23" i="1"/>
  <c r="D24" i="1" s="1"/>
  <c r="G91" i="5"/>
  <c r="G140" i="6" l="1"/>
  <c r="G141" i="6" s="1"/>
  <c r="G63" i="6"/>
  <c r="G64" i="6" s="1"/>
  <c r="G145" i="6" s="1"/>
  <c r="G146" i="6" s="1"/>
  <c r="G147" i="6" s="1"/>
  <c r="G148" i="6" s="1"/>
  <c r="G149" i="6" s="1"/>
  <c r="G150" i="6" s="1"/>
  <c r="G96" i="5"/>
  <c r="G97" i="5" s="1"/>
  <c r="G151" i="6" l="1"/>
  <c r="G152" i="6" s="1"/>
</calcChain>
</file>

<file path=xl/sharedStrings.xml><?xml version="1.0" encoding="utf-8"?>
<sst xmlns="http://schemas.openxmlformats.org/spreadsheetml/2006/main" count="730" uniqueCount="286">
  <si>
    <t>на проектные и изыскательские работы</t>
  </si>
  <si>
    <t xml:space="preserve">Наименование проектной организации- генерального проектировщика </t>
  </si>
  <si>
    <t xml:space="preserve">Наименование организации заказчика </t>
  </si>
  <si>
    <t>№п/п</t>
  </si>
  <si>
    <t>Перечень выполняемых работ</t>
  </si>
  <si>
    <t>Ссылка на №_x000D_
смет по формам 2П, 3П</t>
  </si>
  <si>
    <t>Всего</t>
  </si>
  <si>
    <t>НДС 20%</t>
  </si>
  <si>
    <t>Итого (с НДС)</t>
  </si>
  <si>
    <t>Полная стоимость работ, руб.</t>
  </si>
  <si>
    <t>По объекту:</t>
  </si>
  <si>
    <t xml:space="preserve">актуал.1_Разработка  рабочей документации: Модернизация маркшейдерской наблюдательной станции Правобережного участка Яр-Бишкадакского месторождения каменной соли </t>
  </si>
  <si>
    <t>Наименование строительства и стадии проектирования</t>
  </si>
  <si>
    <t>Разработка проектной и рабочей документации: Модернизация маркшейдерской наблюдательной станции Правобережного участка Яр-Бишкадакского месторождения каменной соли</t>
  </si>
  <si>
    <t>Проектная и рабочая документация</t>
  </si>
  <si>
    <t/>
  </si>
  <si>
    <t>АО "БСК"</t>
  </si>
  <si>
    <t>1</t>
  </si>
  <si>
    <t>Геодезические изыскания</t>
  </si>
  <si>
    <t>2</t>
  </si>
  <si>
    <t>Геологические изыскания</t>
  </si>
  <si>
    <t>3</t>
  </si>
  <si>
    <t>Разработка пояснительной записки</t>
  </si>
  <si>
    <t>4</t>
  </si>
  <si>
    <t xml:space="preserve">Итого по сводной смете </t>
  </si>
  <si>
    <t>5</t>
  </si>
  <si>
    <t xml:space="preserve">Всего по сводной смете </t>
  </si>
  <si>
    <t>Сумма от п.4</t>
  </si>
  <si>
    <t>Всего с НДС (руб.):</t>
  </si>
  <si>
    <t>Кроме того НДС 20% (руб.):</t>
  </si>
  <si>
    <t>Всего по смете (руб.):</t>
  </si>
  <si>
    <t>Всего по смете:</t>
  </si>
  <si>
    <t>9</t>
  </si>
  <si>
    <t>20% от п.7</t>
  </si>
  <si>
    <t>НДС</t>
  </si>
  <si>
    <t>8</t>
  </si>
  <si>
    <t>Сумма от п.6</t>
  </si>
  <si>
    <t>Итого</t>
  </si>
  <si>
    <t>7</t>
  </si>
  <si>
    <t>Коэф - т 1.075 от п.5</t>
  </si>
  <si>
    <t>СБЦ на инж.из. для стр-ва "Инженерно-геодезические изыскания при строительстве и эксплуатации зданий и сооружений" (ОУ п. 8д Таблица 3)</t>
  </si>
  <si>
    <t>Районная надбавка. Районный коэффициент к зар. плате 1.8</t>
  </si>
  <si>
    <t>6</t>
  </si>
  <si>
    <t>Коэф - т 5.46 от п.4</t>
  </si>
  <si>
    <t>Письмо Минстроя России от 07.02.2022 №4153-ИФ/09</t>
  </si>
  <si>
    <t>Индекс на I квартал 2023 года на изыскательские работы к уровню цен на 01.01.2001</t>
  </si>
  <si>
    <t>Итого по смете:</t>
  </si>
  <si>
    <t>Всего Прочие расходы:</t>
  </si>
  <si>
    <t>3.4</t>
  </si>
  <si>
    <t>6% от п.1.7, 3.1</t>
  </si>
  <si>
    <t>СБЦ на инж.из. для стр-ва "Инженерно-геодезические изыскания" (ОУ п. 13)</t>
  </si>
  <si>
    <t>Расходы по организации и ликвидации работ</t>
  </si>
  <si>
    <t>3.3</t>
  </si>
  <si>
    <t>4.5% от п.1.7, 3.1</t>
  </si>
  <si>
    <t>СБЦ на инж.из. для стр-ва "Инженерно-геодезические изыскания при строительстве и эксплуатации зданий и сооружений" (ОУ п. 10 Таблица 5)</t>
  </si>
  <si>
    <t>Расходы по внешнему транспорту. Расстояние проезда и перевозки в одном направлении св 25 до 100 км. Продолжительность экспедиции до 6 мес</t>
  </si>
  <si>
    <t>3.2</t>
  </si>
  <si>
    <t>6.25% от п.1.7</t>
  </si>
  <si>
    <t>СБЦ на инж.из. для стр-ва "Инженерно-геодезические изыскания при строительстве и эксплуатации зданий и сооружений" (ОУ п. 9 Таблица 4)</t>
  </si>
  <si>
    <t>Расходы по внутреннему транспорту. Расстояние от базы до участка изысканий до 5 км. Сметная стоимость полевых изыск.работ св.150 до 300 тыс.руб</t>
  </si>
  <si>
    <t>3.1</t>
  </si>
  <si>
    <t>Прочие расходы</t>
  </si>
  <si>
    <t>Раздел</t>
  </si>
  <si>
    <t>Всего Камеральные работы:</t>
  </si>
  <si>
    <t>2.6</t>
  </si>
  <si>
    <t>Итого Камеральные работы:</t>
  </si>
  <si>
    <t>2.5</t>
  </si>
  <si>
    <t>100% = 18 руб.</t>
  </si>
  <si>
    <t>1. Полный комплекс работ</t>
  </si>
  <si>
    <t>(100%) = 100%</t>
  </si>
  <si>
    <t>Разделы документации</t>
  </si>
  <si>
    <t>K1 = 0.2
МУ 2009 г. Часть 1, п.1.6 (Ценообразующий)</t>
  </si>
  <si>
    <t>Понижающий коэффициент на объем работ</t>
  </si>
  <si>
    <t>Ктек = 1</t>
  </si>
  <si>
    <t>Коэфф.перехода в тек.цены</t>
  </si>
  <si>
    <t>Стадия: Изыскания</t>
  </si>
  <si>
    <t>Коэффициенты</t>
  </si>
  <si>
    <t>Полный комплекс работ
(100%):
A * Количество * Ктек * K1
44 руб * 2 * 1 * 0.2</t>
  </si>
  <si>
    <t>СБЦи5.1_0-3-11-3-2-2 Инженерно-геодезические изыскания при строительстве и эксплуатации зданий и сооружений. 2006 г. Часть 2. Базовые цены на геодезические разбивочные работы Глава 3. Создание плановой геодезической разбивочной основы и вынос в натуру основных осей зданий и сооружений Таблица 11. Вынос в натуру (или восстановлению утраченных) границ отвода земель строительных участков (площадок), месторождений строительных материалов и др. п.3
A=44 руб; 
Количество = 2 (1 граничный (межевой) знак)</t>
  </si>
  <si>
    <t>1 граничный (межевой) знак</t>
  </si>
  <si>
    <t>Вынос в натуру (или восстановлению утраченных) границ отвода земель строительных участков (площадок) с установкой граничных знаков при длине сторон границы, м: свыше 200. Категория сложности II</t>
  </si>
  <si>
    <t>2.4</t>
  </si>
  <si>
    <t>Ктек =</t>
  </si>
  <si>
    <t>((A+B) - 100000 руб) * 3.6 / 100 + 6600 руб
Сумма * Количество * K1
3000 руб * 1 * 0.2</t>
  </si>
  <si>
    <t>СБЦи5.1_0-14-68-2 Инженерно-геодезические изыскания при строительстве и эксплуатации зданий и сооружений. 2006 г. Таблица 68. Составление технического отчета (пояснительной записки) по результатам инженерно-геодезических работ. п.2
Количество = 1</t>
  </si>
  <si>
    <t>-</t>
  </si>
  <si>
    <t>Составление технического отчета (пояснительной записки) по результатам инженерно-геодезических работ. Стоимость полевых и камеральных работ св. 100 до 250 тыс.руб.</t>
  </si>
  <si>
    <t>2.3</t>
  </si>
  <si>
    <t>100% = 276 руб.</t>
  </si>
  <si>
    <t>Полный комплекс работ
(100%):
A * Количество * Ктек * K1
46 руб * 30 * 1 * 0.2</t>
  </si>
  <si>
    <t>СБЦи5.3_0-5-29-2-3-2 Справочник базовых цен на инженерные изыскания для строительства. Инженерно-гидрографические работы. Инженерно-гидрометеорологические изыскания на реках. 2000 г. Часть I, Глава 5, Таблица 29. Цены на наземную фототопографическую съемку п.2
A=46 руб; 
Количество = 30 (1 га)</t>
  </si>
  <si>
    <t>1 га</t>
  </si>
  <si>
    <t>Наземная фототопографическая съемка с составлением плана в масштабе: 1:1000. Высота сечения рельефа 1 м. Категория сложности III</t>
  </si>
  <si>
    <t>2.2</t>
  </si>
  <si>
    <t>100% = 7002 руб.</t>
  </si>
  <si>
    <t>Полный комплекс работ
(100%):
A * Количество * Ктек * K1
1167 руб * 30 * 1 * 0.2</t>
  </si>
  <si>
    <t>СБЦи5.6_0-2-9-12-2-2 Справочник базовых цен на инженерные изыскания для строительства. Инженерно-геодезические изыскания. 2004 г. Часть I, Глава 2, Таблица 9. Цены на создание инженерно-топографических планов в масштабах 1:500-1:10000 п.12
A=1167 руб; 
Количество = 30 (1 га)</t>
  </si>
  <si>
    <t>Инженерно-топографические планы. Масштаб съемки 1:1000. Высота сечения рельефа 0,5 м. Категория сложности III. Вид территории: застроенная</t>
  </si>
  <si>
    <t>2.1</t>
  </si>
  <si>
    <t>Камеральные работы</t>
  </si>
  <si>
    <t>Всего Полевые работы:</t>
  </si>
  <si>
    <t>1.7</t>
  </si>
  <si>
    <t>Итого Полевые работы:</t>
  </si>
  <si>
    <t>1.6</t>
  </si>
  <si>
    <t>100% = 368 руб.</t>
  </si>
  <si>
    <t>Полный комплекс работ
(100%):
A * Количество * Ктек * K1
921 руб * 2 * 1 * 0.2</t>
  </si>
  <si>
    <t>СБЦи5.1_0-3-11-3-2-1 Инженерно-геодезические изыскания при строительстве и эксплуатации зданий и сооружений. 2006 г. Часть 2. Базовые цены на геодезические разбивочные работы Глава 3. Создание плановой геодезической разбивочной основы и вынос в натуру основных осей зданий и сооружений Таблица 11. Вынос в натуру (или восстановлению утраченных) границ отвода земель строительных участков (площадок), месторождений строительных материалов и др. п.3
A=921 руб; 
Количество = 2 (1 граничный (межевой) знак)</t>
  </si>
  <si>
    <t>1.5</t>
  </si>
  <si>
    <t>100% = 74592 руб.</t>
  </si>
  <si>
    <t>Полный комплекс работ
(100%):
A * Количество * Ктек * K1
3330 руб * 112 * 1 * 0.2</t>
  </si>
  <si>
    <t>СБЦи5.1_0-1-7-4-2 Инженерно-геодезические изыскания при строительстве и эксплуатации зданий и сооружений. 2006 г.Часть 1. Базовые цены на геодезичесие стационарные наблюдения за деформацией зданий, сооружений и за склоновыми процессами Глава 1. Изготовление и установка опорных и рабочих геодезических знаков Таблица 07. Изготовление и установка реперов и марок нивелирования п.4
A=3330 руб; 
Количество = 112 (1 знак)</t>
  </si>
  <si>
    <t>1 знак</t>
  </si>
  <si>
    <t>Глубинный репер трубчатый диаметром 65-80 мм с защитным колодцем. Грунтовой репер. Установка железобетонного или трубчатого репера (без защитного колодца и наружного ограждения) при глубине закладки, м: 2,5. Категория грунтов II
новые
(применительно)</t>
  </si>
  <si>
    <t>1.4</t>
  </si>
  <si>
    <t>100% = 55944 руб.</t>
  </si>
  <si>
    <t>Полный комплекс работ
(100%):
A * Количество * Ктек * K1
3330 руб * 84 * 1 * 0.2</t>
  </si>
  <si>
    <t>СБЦи5.1_0-1-7-4-2 Инженерно-геодезические изыскания при строительстве и эксплуатации зданий и сооружений. 2006 г.Часть 1. Базовые цены на геодезичесие стационарные наблюдения за деформацией зданий, сооружений и за склоновыми процессами Глава 1. Изготовление и установка опорных и рабочих геодезических знаков Таблица 07. Изготовление и установка реперов и марок нивелирования п.4
A=3330 руб; 
Количество = 84 (1 знак)</t>
  </si>
  <si>
    <t>Глубинный репер трубчатый диаметром 65-80 мм с защитным колодцем. Грунтовой репер. Установка железобетонного или трубчатого репера (без защитного колодца и наружного ограждения) при глубине закладки, м: 2,5. Категория грунтов II
старые
(применительно)</t>
  </si>
  <si>
    <t>1.3</t>
  </si>
  <si>
    <t>100% = 468 руб.</t>
  </si>
  <si>
    <t>Полный комплекс работ
(100%):
A * Количество * Ктек * K1
78 руб * 30 * 1 * 0.2</t>
  </si>
  <si>
    <t>СБЦи5.3_0-5-29-2-3-1 Справочник базовых цен на инженерные изыскания для строительства. Инженерно-гидрографические работы. Инженерно-гидрометеорологические изыскания на реках. 2000 г. Часть I, Глава 5, Таблица 29. Цены на наземную фототопографическую съемку п.2
A=78 руб; 
Количество = 30 (1 га)</t>
  </si>
  <si>
    <t>1.2</t>
  </si>
  <si>
    <t>100% = 21990 руб.</t>
  </si>
  <si>
    <t>Полный комплекс работ
(100%):
A * Количество * Ктек * K1
3665 руб * 30 * 1 * 0.2</t>
  </si>
  <si>
    <t>СБЦи5.6_0-2-9-12-2-1 Справочник базовых цен на инженерные изыскания для строительства. Инженерно-геодезические изыскания. 2004 г. Часть I, Глава 2, Таблица 9. Цены на создание инженерно-топографических планов в масштабах 1:500-1:10000 п.12
A=3665 руб; 
Количество = 30 (1 га)</t>
  </si>
  <si>
    <t>Инженерно-топографические планы. Масштаб съемки 1:1000. Высота сечения рельефа 0,5 м. Категория сложности III.</t>
  </si>
  <si>
    <t>1.1</t>
  </si>
  <si>
    <t>Полевые работы</t>
  </si>
  <si>
    <t>Стоимость, руб.</t>
  </si>
  <si>
    <t>Расчет стоимости</t>
  </si>
  <si>
    <t>Обоснование стоимости</t>
  </si>
  <si>
    <t>Кол-
во.</t>
  </si>
  <si>
    <t>Ед.
Изм</t>
  </si>
  <si>
    <t>Наименование работ и затрат</t>
  </si>
  <si>
    <t>№ пп</t>
  </si>
  <si>
    <t xml:space="preserve">Подрядчик: </t>
  </si>
  <si>
    <t>Заказчик:</t>
  </si>
  <si>
    <t>Наименование объекта изысканий:</t>
  </si>
  <si>
    <t>по объекту:</t>
  </si>
  <si>
    <t>на изыскательские работы</t>
  </si>
  <si>
    <t>Смета №1</t>
  </si>
  <si>
    <t>10</t>
  </si>
  <si>
    <t>20% от п.8</t>
  </si>
  <si>
    <t>Сумма от п.7</t>
  </si>
  <si>
    <t>Коэф - т 1.075 от п.6</t>
  </si>
  <si>
    <t>СБЦ на инженерно-геологические и инженерно-экологические изыскания для строительства (ОУ п. 8д Таблица 3)</t>
  </si>
  <si>
    <t>Коэф - т 62.19 от п.5</t>
  </si>
  <si>
    <t>Письмо Минстроя России от 05.08.2022 №39010-ИФ/09</t>
  </si>
  <si>
    <t>Индекс на I квартал 2023 года на изыскательские работы к уровню цен на 01.01.1991</t>
  </si>
  <si>
    <t>4.4</t>
  </si>
  <si>
    <t>6% от п.1.8, 4.1</t>
  </si>
  <si>
    <t>СБЦ на инженерно-геологические и инженерно-экологические изыскания для строительства (Проект)(ОУ п.13 Таблица 6)</t>
  </si>
  <si>
    <t>Расходы по организации и ликвидации работ. Виды работ: инженерно-геологические, инженерно-экологические, гидрогеологические и инженерно-геодезические (кроме геофизических)</t>
  </si>
  <si>
    <t>4.3</t>
  </si>
  <si>
    <t>14% от п.1.8, 4.1</t>
  </si>
  <si>
    <t>СБЦ на инженерно-геологические и инженерно-экологические изыскания для строительства (ОУ п. 10 Таблица 5)</t>
  </si>
  <si>
    <t>Расходы по внешнему транспорту. Расстояние проезда и перевозки в одном направлении св 25 до 100 км. Продолжительность экспедиции до 1 мес</t>
  </si>
  <si>
    <t>4.2</t>
  </si>
  <si>
    <t>13.75% от п.1.8</t>
  </si>
  <si>
    <t>СБЦ на инженерно-геологические и инженерно-экологические изыскания для строительства (ОУ п. 9 Таблица 4)</t>
  </si>
  <si>
    <t>Расходы по внутреннему транспорту. Расстояние от базы до участка изысканий св. 10 до 15 км. Сметная стоимость полевых изыск.работ до 5 тыс.руб</t>
  </si>
  <si>
    <t>4.1</t>
  </si>
  <si>
    <t>3.8</t>
  </si>
  <si>
    <t>3.7</t>
  </si>
  <si>
    <t>K1 = 0.5
МУ 2009 г. Часть 1, п.1.6 (Ценообразующий)</t>
  </si>
  <si>
    <t>18% от п.3.1-3.5
Сумма * Количество * K1
120 руб * 1 * 0.5</t>
  </si>
  <si>
    <t>СБЦи5.2_0-22-87-2-2 Справочник базовых цен на инженерно-геологические и инженерно-экологические изыскания для строительства. 1999 г. Таблица 87. Составление технического отчета (заключения) о результатах выполненных работ. п.2
Количество = 1</t>
  </si>
  <si>
    <t>Составление технического отчета (заключения) о результатах выполненных работ. Стоимость камеральных работ св. 5 до 20 тыс.руб. Категория сложности инженерно-геологических условий II</t>
  </si>
  <si>
    <t>3.6</t>
  </si>
  <si>
    <t>100% = 10 руб.</t>
  </si>
  <si>
    <t>Полный комплекс работ
(100%):
A * Количество * Ктек * K1
10.2 руб * 2 * 1 * 0.5</t>
  </si>
  <si>
    <t>СБЦи5.2_0-2-11-1-3-2 Инженерно-геологические и инженерно-экологические изыскания для строительства. 1999 г. Глава 2. Маршрутные наблюдения, выполняемые при составлении инженерно-геологических, инженерно-гидрогеологических и инженерно-экологических карт масштабов 1:50000-1:500 Таблица 11. Описание точек наблюдений при составлении инженерно-геологических (гидрогеологических) и инженерно-экологических карт п.1
A=10.2 руб; 
Количество = 2 (1 точка)</t>
  </si>
  <si>
    <t>1 точка</t>
  </si>
  <si>
    <t>Описание точек наблюдений при составлении инженерно-геологических (гидрогеологических) карт . Категория сложности III</t>
  </si>
  <si>
    <t>3.5</t>
  </si>
  <si>
    <t>100% = 24 руб.</t>
  </si>
  <si>
    <t>Полный комплекс работ
(100%):
A * Количество * Ктек * K1
8 руб * 6 * 1 * 0.5</t>
  </si>
  <si>
    <t>СБЦи5.2_0-21-85-3 Инженерно-геологические и инженерно-экологические. 1999 г. Глава 21. Камеральная обработка материалов полевых и лабораторных работ Таблица 85. Цены на камеральную обработку стационарных наблюдений. п.3
A=8 руб; 
Количество = 6 (1 замер)</t>
  </si>
  <si>
    <t>1 замер</t>
  </si>
  <si>
    <t>Камеральная обработка термометрических наблюдений и наблюдений за глубиной сезонного промерзания (протаивания) грунтов</t>
  </si>
  <si>
    <t>100% = 550 руб.</t>
  </si>
  <si>
    <t>Полный комплекс работ
(100%):
A * Количество * Ктек * K1
1100 руб * 1 * 1 * 0.5</t>
  </si>
  <si>
    <t>СБЦи5.2_0-20-81-3-2 Инженерно-геологические и инженерно-экологические. 1999 г. Глава 20. Предполевые камеральные работы Таблица 81. Цены на составление программы производства работ. п.3
A=1100 руб; 
Количество = 1 (1 программа)</t>
  </si>
  <si>
    <t>1 программа</t>
  </si>
  <si>
    <t>Составление программы производства работ, средняя глубина исследования 10-15 м, исследуемая площадь 1-3 км2</t>
  </si>
  <si>
    <t>Полный комплекс работ
(100%):
A * Количество * Ктек * K1
9.3 руб * 2.2 * 1 * 0.5</t>
  </si>
  <si>
    <t>СБЦи5.2_0-21-82-2-2 Инженерно-геологические и инженерно-экологические. 1999 г. Глава 21. Камеральная обработка материалов полевых и лабораторных работ Таблица 82. Цены на камеральную обработку материалов буровых и горнопроходческих работ. п.2
A=9.3 руб; 
Количество = 2.2 (1 м выработки)</t>
  </si>
  <si>
    <t>1 м выработки</t>
  </si>
  <si>
    <t>Камеральная обработка материалов буровых и горнопроходческих работ с гидрогеологическими наблюдениями.Категория сложности инженерно-геологических условий II</t>
  </si>
  <si>
    <t>100% = 70 руб.</t>
  </si>
  <si>
    <t>Полный комплекс работ
(100%):
A * Количество * Ктек * K1
23.4 руб * 6 * 1 * 0.5</t>
  </si>
  <si>
    <t>СБЦи5.2_0-1-9-2-3-2 Инженерно-геологические и инженерно-экологические изыскания для строительства. 1999 г. Глава 1. Инженерно-геологическое, инженерно-гидрогеологическое и инженерно-экологическое рекогносцировочное (маршрутное) обследование Таблица 9. Рекогносцировочное обследование п.2
A=23.4 руб; 
Количество = 6 (1 км маршрута)</t>
  </si>
  <si>
    <t>1 км маршрута</t>
  </si>
  <si>
    <t>Инженерно-геологическая, гидрогеологическая рекогносцировка при проходимости: удовлетворительной. Категория сложности III</t>
  </si>
  <si>
    <t>Всего Лабораторные работы:</t>
  </si>
  <si>
    <t>Итого Лабораторные работы:</t>
  </si>
  <si>
    <t>100% = 76 руб.</t>
  </si>
  <si>
    <t>Полный комплекс работ
(100%):
A * Количество * Ктек * K1
25.4 руб * 6 * 1 * 0.5</t>
  </si>
  <si>
    <t>СБЦи5.2_0-18-75-5 Инженерно-геологические и инженерно-экологические изыскания для строительства. 1999 г. Глава 18. Единичные определения и комплексные исследования химического состава грунтов (почв) и воды Таблица 75. Цены на определение коррозионной активности грунтов и воды. п.5
A=25.4 руб; 
Количество = 6 (1 образец)</t>
  </si>
  <si>
    <t>1 образец</t>
  </si>
  <si>
    <t>Определение коррозионной активности грунтов грунтовых вод по отношению к бетону</t>
  </si>
  <si>
    <t>100% = 289 руб.</t>
  </si>
  <si>
    <t>Полный комплекс работ
(100%):
A * Количество * Ктек * K1
96.2 руб * 6 * 1 * 0.5</t>
  </si>
  <si>
    <t>СБЦи5.2_0-18-73-1 Инженерно-геологические и инженерно-экологические изыскания для строительства. 1999 г. Глава 18. Единичные определения и комплексные исследования химического состава грунтов (почв) и воды Таблица 73. Цены на комплексные исследования химического состава воды. п.1
A=96.2 руб; 
Количество = 6 (1 проба)</t>
  </si>
  <si>
    <t>1 проба</t>
  </si>
  <si>
    <t>Комплексные исследования химического состава. Полный анализ воды.</t>
  </si>
  <si>
    <t>100% = 137 руб.</t>
  </si>
  <si>
    <t>Полный комплекс работ
(100%):
A * Количество * Ктек * K1
45.5 руб * 6 * 1 * 0.5</t>
  </si>
  <si>
    <t>СБЦи5.2_0-17-65-1 Инженерно-геологические и инженерно-экологические изыскания для строительства. 1999 г. Глава 17. Единичные определения и комплексные исследования (испытания) физико-механических свойств грунтов (пород) Таблица 65. Цены на комплексные исследования физико-механических свойств песчаных грунтов. п.1
A=45.5 руб; 
Количество = 6 (1 образец)</t>
  </si>
  <si>
    <t>Комплексные исследования физико-механических свойств песчаных грунтов.</t>
  </si>
  <si>
    <t>100% = 579 руб.</t>
  </si>
  <si>
    <t>Полный комплекс работ
(100%):
A * Количество * Ктек * K1
193 руб * 6 * 1 * 0.5</t>
  </si>
  <si>
    <t>СБЦи5.2_0-17-63-25 Инженерно-геологические и инженерно-экологические изыскания для строительства. 1999 г. Глава 17. Единичные определения и комплексные исследования (испытания) физико-механических свойств грунтов (пород) Таблица 63. Цены на комплексные исследования физико-механических свойств глинистых грунтов. п.25
A=193 руб; 
Количество = 6 (1 образец)</t>
  </si>
  <si>
    <t>Комплексные исследования физико-механических свойств глинистых грунтов.</t>
  </si>
  <si>
    <t>Лабораторные работы</t>
  </si>
  <si>
    <t>1.8</t>
  </si>
  <si>
    <t>100% = 3166 руб.</t>
  </si>
  <si>
    <t>Полный комплекс работ
(100%):
A * Количество * Ктек * K1
25.7 руб * 246.4 * 1 * 0.5</t>
  </si>
  <si>
    <t>СБЦи5.2_0-3-14-6-4 Инженерно-геологические и инженерно-экологические изыскания для строительства. 1999 г. Глава 3. Ручное бурение и бурение переносными буровыми установками Таблица 14. Бурение переносными установками п.6
A=25.7 руб; 
Количество = 246.4 (1 м)</t>
  </si>
  <si>
    <t>1 м</t>
  </si>
  <si>
    <t>Бурение скважины переносными установками, диаметром свыше 89 ммКатегория породы IV
(прим. 112 реперов)</t>
  </si>
  <si>
    <t>100% = 16 руб.</t>
  </si>
  <si>
    <t>Полный комплекс работ
(100%):
A * Количество * Ктек * K1
16.4 руб * 2 * 1 * 0.5</t>
  </si>
  <si>
    <t>СБЦи5.2_0-2-11-1-3-1 Инженерно-геологические и инженерно-экологические изыскания для строительства. 1999 г. Глава 2. Маршрутные наблюдения, выполняемые при составлении инженерно-геологических, инженерно-гидрогеологических и инженерно-экологических карт масштабов 1:50000-1:500 Таблица 11. Описание точек наблюдений при составлении инженерно-геологических (гидрогеологических) и инженерно-экологических карт п.1
A=16.4 руб; 
Количество = 2 (1 точка)</t>
  </si>
  <si>
    <t>100% = 92 руб.</t>
  </si>
  <si>
    <t>Полный комплекс работ
(100%):
A * Количество * Ктек * K1
30.6 руб * 6 * 1 * 0.5</t>
  </si>
  <si>
    <t>СБЦи5.2_0-16-57-2-1 Инженерно-геологические и инженерно-экологические изыскания для строительства. 1999 г. Глава 16. Отбор проб Таблица 57. Цены на отбор монолитов связных и несвязных грунтов для лабораторных исследований из буровых скважин, горных выработок и котлованов. п.2
A=30.6 руб; 
Количество = 6 (1 монолит)</t>
  </si>
  <si>
    <t>1 монолит</t>
  </si>
  <si>
    <t>Отбор монолитов с глубины, м: св. 10 до 20. Из буровых скважин (связные грунты)</t>
  </si>
  <si>
    <t>100% = 69 руб.</t>
  </si>
  <si>
    <t>Полный комплекс работ
(100%):
A * Количество * Ктек * K1
22.9 руб * 6 * 1 * 0.5</t>
  </si>
  <si>
    <t>СБЦи5.2_0-16-57-1-1 Инженерно-геологические и инженерно-экологические изыскания для строительства. 1999 г. Глава 16. Отбор проб Таблица 57. Цены на отбор монолитов связных и несвязных грунтов для лабораторных исследований из буровых скважин, горных выработок и котлованов. п.1
A=22.9 руб; 
Количество = 6 (1 монолит)</t>
  </si>
  <si>
    <t>Отбор монолитов с глубины, м: до 10. Из буровых скважин (связные грунты)</t>
  </si>
  <si>
    <t>100% = 7 руб.</t>
  </si>
  <si>
    <t>K2 = 0.5
Часть VIII, Глава 25, примечание 1 к таблице 93 (Ценообразующий)</t>
  </si>
  <si>
    <t>Стоимость предварительной разбивки местоположения выработок (точек) определяется по ценам с применением коэффициента</t>
  </si>
  <si>
    <t>Полный комплекс работ
(100%):
A * Количество * Ктек * K1 * K2
13.6 руб * 2 * 1 * 0.5 * 0.5</t>
  </si>
  <si>
    <t>СБЦи5.2_0-25-93-2-3 Инженерно-геологические и инженерно-экологические. 1999 г. Глава 25. Геодезические работы Таблица 93. Цены на плановую и высотную привязку отдельных точек. п.2
A=13.6 руб; 
Количество = 2 (1 выработка (точка))</t>
  </si>
  <si>
    <t>1 выработка (точка)</t>
  </si>
  <si>
    <t>Плановая и высотная привязка при расстоянии между геологическими выработками или точками, м: св. 50 до 100. Категория сложности III</t>
  </si>
  <si>
    <t>100% = 108 руб.</t>
  </si>
  <si>
    <t>Полный комплекс работ
(100%):
A * Количество * Ктек * K1
36 руб * 6 * 1 * 0.5</t>
  </si>
  <si>
    <t>СБЦи5.2_0-1-9-2-3-1 Инженерно-геологические и инженерно-экологические изыскания для строительства. 1999 г. Глава 1. Инженерно-геологическое, инженерно-гидрогеологическое и инженерно-экологическое рекогносцировочное (маршрутное) обследование Таблица 9. Рекогносцировочное обследование п.2
A=36 руб; 
Количество = 6 (1 км маршрута)</t>
  </si>
  <si>
    <t>Смета №2</t>
  </si>
  <si>
    <t>Заказчик</t>
  </si>
  <si>
    <t>848 936.40 (Восемьсот сорок восемь тысяч девятьсот тридцать шесть рублей сорок копеек)</t>
  </si>
  <si>
    <t>141 489.40 (Сто сорок одна тысяча четыреста восемьдесят девять рублей сорок копеек)</t>
  </si>
  <si>
    <t>707 447 (Семьсот семь тысяч четыреста сорок семь рублей, 00 копеек)</t>
  </si>
  <si>
    <t>руб.</t>
  </si>
  <si>
    <t>НДС
20% от 707 447</t>
  </si>
  <si>
    <t>Итого по смете</t>
  </si>
  <si>
    <t>Районный коэффициент  Кр=1</t>
  </si>
  <si>
    <t>94301.10*1/21=4490.53</t>
  </si>
  <si>
    <t>94301.10*1=94301.10</t>
  </si>
  <si>
    <t>Стоимость работ, руб. С = (гр. 6 × гр. 7 × гр.8 × гр. 9)</t>
  </si>
  <si>
    <t>Коэффициент квалификации (участия) Ккв-уч</t>
  </si>
  <si>
    <t>Численность исполнителей (чел.)</t>
  </si>
  <si>
    <t>Продолжительность разработки (дни)</t>
  </si>
  <si>
    <t>Среднедневная единичная выработка, руб. (гр. 3 × (1 + гр. 5)) / гр. 4</t>
  </si>
  <si>
    <t>Рентабельность, %</t>
  </si>
  <si>
    <t>Удельный вес зарплаты в себестоимости работ - Кз, %</t>
  </si>
  <si>
    <t>Среднедневная зарплата исполнителей (гр1/гр2) руб.</t>
  </si>
  <si>
    <t>Кол-во рабочих дней в месяце, дни</t>
  </si>
  <si>
    <t>Среднемесячная зарплата исполнителей, руб.</t>
  </si>
  <si>
    <t>проектирование</t>
  </si>
  <si>
    <t>Расчет стоимости проектных работ в соответствии с калькуляцией затрат на</t>
  </si>
  <si>
    <t>Итого:</t>
  </si>
  <si>
    <t>Ведущий специалист
(архитектор, инженер,
экономист), научный
сотрудник</t>
  </si>
  <si>
    <t>1,32</t>
  </si>
  <si>
    <t>Главный специалист,
старший научный
сотрудник</t>
  </si>
  <si>
    <t>Коэффициент квалификации (участия) специалистов одной квалификации, ∑ (гр.3 / итог гр.4 × гр.5 × гр.6)/∑ гр.5</t>
  </si>
  <si>
    <t>Индекс уровня квалиификации специалистов исполнителей работы</t>
  </si>
  <si>
    <t>Численность исполнителей одной квалификации, Чi (чел)</t>
  </si>
  <si>
    <t>Плановая продолжительность выполнения проектных работ, предусмотренных калькуляцией, Тп (дни)</t>
  </si>
  <si>
    <t>Фактическое время  участия исполнителя в работе, Тф (дни)</t>
  </si>
  <si>
    <t>Наименование должностей исполнителей</t>
  </si>
  <si>
    <t>№ п/п</t>
  </si>
  <si>
    <t>проектировщиков различной квалификации в выполнении проектных работ (Ккв-уч)</t>
  </si>
  <si>
    <t>Расчет коэффициента, учитывающего степень участия исполнителей-</t>
  </si>
  <si>
    <t>Составлена в уровне цен на  кв.  г.</t>
  </si>
  <si>
    <t>Проектная организация</t>
  </si>
  <si>
    <t>на проектные работы</t>
  </si>
  <si>
    <t>Смета №3</t>
  </si>
  <si>
    <t>СВОДНАЯ СМЕТА - изм.1, актуал.1</t>
  </si>
  <si>
    <t xml:space="preserve">актуал.1_Разработка рабочей документации: Модернизация маркшейдерской наблюдательной станции Правобережного участка Яр-Бишкадакского месторождения каменной соли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</si>
</sst>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#,##0.000"/>
  </numFmts>
  <fonts count="25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 Cyr"/>
      <family val="2"/>
      <charset val="204"/>
    </font>
    <font>
      <sz val="10"/>
      <name val="Times New Roman Cyr"/>
      <family val="1"/>
      <charset val="204"/>
    </font>
    <font>
      <sz val="9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  <font>
      <sz val="6"/>
      <name val="Arial"/>
      <family val="2"/>
      <charset val="204"/>
    </font>
    <font>
      <u/>
      <sz val="10"/>
      <name val="Arial"/>
      <family val="2"/>
      <charset val="204"/>
    </font>
    <font>
      <sz val="10"/>
      <name val="Tahoma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</font>
    <font>
      <sz val="6"/>
      <color indexed="8"/>
      <name val="Arial"/>
      <family val="2"/>
      <charset val="204"/>
    </font>
    <font>
      <sz val="7"/>
      <name val="Arial"/>
      <family val="2"/>
      <charset val="204"/>
    </font>
    <font>
      <sz val="7"/>
      <name val="Tahoma"/>
      <family val="2"/>
      <charset val="204"/>
    </font>
    <font>
      <sz val="6"/>
      <color indexed="8"/>
      <name val="Arial"/>
      <family val="2"/>
    </font>
    <font>
      <sz val="9.5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8">
    <xf numFmtId="0" fontId="0" fillId="0" borderId="0"/>
    <xf numFmtId="0" fontId="2" fillId="0" borderId="0"/>
    <xf numFmtId="0" fontId="23" fillId="0" borderId="0"/>
    <xf numFmtId="0" fontId="24" fillId="0" borderId="0"/>
    <xf numFmtId="0" fontId="22" fillId="0" borderId="0"/>
    <xf numFmtId="164" fontId="1" fillId="0" borderId="0" applyFont="0" applyFill="0" applyBorder="0" applyAlignment="0" applyProtection="0"/>
    <xf numFmtId="0" fontId="23" fillId="0" borderId="0"/>
    <xf numFmtId="0" fontId="1" fillId="0" borderId="0"/>
  </cellStyleXfs>
  <cellXfs count="176">
    <xf numFmtId="0" fontId="0" fillId="0" borderId="0" xfId="0"/>
    <xf numFmtId="0" fontId="0" fillId="0" borderId="0" xfId="0" applyNumberFormat="1"/>
    <xf numFmtId="0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wrapText="1"/>
    </xf>
    <xf numFmtId="49" fontId="0" fillId="0" borderId="0" xfId="0" applyNumberFormat="1"/>
    <xf numFmtId="0" fontId="4" fillId="0" borderId="0" xfId="0" applyFont="1" applyAlignment="1"/>
    <xf numFmtId="0" fontId="7" fillId="0" borderId="0" xfId="0" applyFont="1" applyAlignment="1"/>
    <xf numFmtId="49" fontId="2" fillId="0" borderId="0" xfId="0" applyNumberFormat="1" applyFont="1"/>
    <xf numFmtId="49" fontId="9" fillId="0" borderId="0" xfId="0" applyNumberFormat="1" applyFont="1" applyAlignment="1">
      <alignment horizontal="left" vertical="center" wrapText="1"/>
    </xf>
    <xf numFmtId="49" fontId="2" fillId="0" borderId="0" xfId="0" applyNumberFormat="1" applyFont="1" applyBorder="1" applyAlignment="1"/>
    <xf numFmtId="49" fontId="2" fillId="0" borderId="0" xfId="0" applyNumberFormat="1" applyFont="1" applyBorder="1" applyAlignment="1">
      <alignment horizontal="center" wrapText="1"/>
    </xf>
    <xf numFmtId="49" fontId="0" fillId="0" borderId="0" xfId="0" applyNumberFormat="1" applyBorder="1" applyAlignment="1"/>
    <xf numFmtId="49" fontId="4" fillId="0" borderId="0" xfId="0" applyNumberFormat="1" applyFont="1" applyAlignment="1"/>
    <xf numFmtId="49" fontId="4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top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/>
    </xf>
    <xf numFmtId="49" fontId="10" fillId="0" borderId="1" xfId="0" applyNumberFormat="1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/>
    </xf>
    <xf numFmtId="0" fontId="10" fillId="0" borderId="1" xfId="0" applyNumberFormat="1" applyFont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/>
    </xf>
    <xf numFmtId="0" fontId="2" fillId="0" borderId="0" xfId="1" applyNumberFormat="1"/>
    <xf numFmtId="0" fontId="2" fillId="0" borderId="0" xfId="1" applyNumberFormat="1" applyFont="1" applyAlignment="1">
      <alignment wrapText="1"/>
    </xf>
    <xf numFmtId="4" fontId="10" fillId="0" borderId="1" xfId="1" applyNumberFormat="1" applyFont="1" applyBorder="1" applyAlignment="1">
      <alignment horizontal="right" vertical="top" wrapText="1"/>
    </xf>
    <xf numFmtId="0" fontId="10" fillId="0" borderId="1" xfId="1" applyNumberFormat="1" applyFont="1" applyBorder="1" applyAlignment="1">
      <alignment horizontal="left" vertical="top" wrapText="1"/>
    </xf>
    <xf numFmtId="49" fontId="10" fillId="0" borderId="1" xfId="1" applyNumberFormat="1" applyFont="1" applyBorder="1" applyAlignment="1">
      <alignment horizontal="right" vertical="top" wrapText="1"/>
    </xf>
    <xf numFmtId="4" fontId="2" fillId="0" borderId="1" xfId="1" applyNumberFormat="1" applyFont="1" applyBorder="1" applyAlignment="1">
      <alignment horizontal="right" vertical="top" wrapText="1"/>
    </xf>
    <xf numFmtId="0" fontId="2" fillId="0" borderId="1" xfId="1" applyNumberFormat="1" applyFont="1" applyBorder="1" applyAlignment="1">
      <alignment horizontal="left" vertical="top" wrapText="1"/>
    </xf>
    <xf numFmtId="3" fontId="2" fillId="0" borderId="1" xfId="1" applyNumberFormat="1" applyFont="1" applyBorder="1" applyAlignment="1">
      <alignment horizontal="right" vertical="top" wrapText="1"/>
    </xf>
    <xf numFmtId="3" fontId="10" fillId="0" borderId="1" xfId="1" applyNumberFormat="1" applyFont="1" applyBorder="1" applyAlignment="1">
      <alignment horizontal="right" vertical="top" wrapText="1"/>
    </xf>
    <xf numFmtId="0" fontId="10" fillId="0" borderId="1" xfId="1" applyNumberFormat="1" applyFont="1" applyBorder="1" applyAlignment="1">
      <alignment horizontal="right" vertical="top" wrapText="1"/>
    </xf>
    <xf numFmtId="3" fontId="10" fillId="0" borderId="2" xfId="1" applyNumberFormat="1" applyFont="1" applyBorder="1" applyAlignment="1">
      <alignment horizontal="right" vertical="top" wrapText="1"/>
    </xf>
    <xf numFmtId="0" fontId="10" fillId="0" borderId="2" xfId="1" applyNumberFormat="1" applyFont="1" applyBorder="1" applyAlignment="1">
      <alignment horizontal="left" vertical="top" wrapText="1"/>
    </xf>
    <xf numFmtId="49" fontId="10" fillId="0" borderId="2" xfId="1" applyNumberFormat="1" applyFont="1" applyBorder="1" applyAlignment="1">
      <alignment horizontal="right" vertical="top" wrapText="1"/>
    </xf>
    <xf numFmtId="0" fontId="2" fillId="0" borderId="2" xfId="1" applyNumberFormat="1" applyFont="1" applyBorder="1" applyAlignment="1">
      <alignment horizontal="right" vertical="top" wrapText="1"/>
    </xf>
    <xf numFmtId="0" fontId="2" fillId="0" borderId="2" xfId="1" applyNumberFormat="1" applyFont="1" applyBorder="1" applyAlignment="1">
      <alignment horizontal="left" vertical="top" wrapText="1"/>
    </xf>
    <xf numFmtId="0" fontId="10" fillId="0" borderId="3" xfId="1" applyNumberFormat="1" applyFont="1" applyBorder="1" applyAlignment="1">
      <alignment horizontal="right" vertical="top" wrapText="1"/>
    </xf>
    <xf numFmtId="0" fontId="10" fillId="0" borderId="3" xfId="1" applyNumberFormat="1" applyFont="1" applyBorder="1" applyAlignment="1">
      <alignment horizontal="left" vertical="top" wrapText="1"/>
    </xf>
    <xf numFmtId="49" fontId="10" fillId="0" borderId="3" xfId="1" applyNumberFormat="1" applyFont="1" applyBorder="1" applyAlignment="1">
      <alignment horizontal="right" vertical="top" wrapText="1"/>
    </xf>
    <xf numFmtId="0" fontId="2" fillId="0" borderId="3" xfId="1" applyNumberFormat="1" applyFont="1" applyBorder="1" applyAlignment="1">
      <alignment horizontal="right" vertical="top" wrapText="1"/>
    </xf>
    <xf numFmtId="0" fontId="2" fillId="0" borderId="3" xfId="1" applyNumberFormat="1" applyFont="1" applyBorder="1" applyAlignment="1">
      <alignment horizontal="left" vertical="top" wrapText="1"/>
    </xf>
    <xf numFmtId="0" fontId="10" fillId="0" borderId="4" xfId="1" applyNumberFormat="1" applyFont="1" applyBorder="1" applyAlignment="1">
      <alignment horizontal="right" vertical="top" wrapText="1"/>
    </xf>
    <xf numFmtId="0" fontId="10" fillId="0" borderId="4" xfId="1" applyNumberFormat="1" applyFont="1" applyBorder="1" applyAlignment="1">
      <alignment horizontal="left" vertical="top" wrapText="1"/>
    </xf>
    <xf numFmtId="49" fontId="10" fillId="0" borderId="4" xfId="1" applyNumberFormat="1" applyFont="1" applyBorder="1" applyAlignment="1">
      <alignment horizontal="right" vertical="top" wrapText="1"/>
    </xf>
    <xf numFmtId="3" fontId="2" fillId="0" borderId="5" xfId="1" applyNumberFormat="1" applyFont="1" applyBorder="1" applyAlignment="1">
      <alignment horizontal="right" vertical="top" wrapText="1"/>
    </xf>
    <xf numFmtId="0" fontId="2" fillId="0" borderId="5" xfId="1" applyNumberFormat="1" applyFont="1" applyBorder="1" applyAlignment="1">
      <alignment horizontal="left" vertical="top" wrapText="1"/>
    </xf>
    <xf numFmtId="0" fontId="10" fillId="0" borderId="5" xfId="1" applyNumberFormat="1" applyFont="1" applyBorder="1" applyAlignment="1">
      <alignment horizontal="left" vertical="top" wrapText="1"/>
    </xf>
    <xf numFmtId="49" fontId="10" fillId="0" borderId="5" xfId="1" applyNumberFormat="1" applyFont="1" applyBorder="1" applyAlignment="1">
      <alignment horizontal="right" vertical="top" wrapText="1"/>
    </xf>
    <xf numFmtId="3" fontId="2" fillId="0" borderId="6" xfId="1" applyNumberFormat="1" applyFont="1" applyBorder="1" applyAlignment="1">
      <alignment horizontal="right" vertical="top" wrapText="1"/>
    </xf>
    <xf numFmtId="0" fontId="2" fillId="0" borderId="6" xfId="1" applyNumberFormat="1" applyFont="1" applyBorder="1" applyAlignment="1">
      <alignment horizontal="left" vertical="top" wrapText="1"/>
    </xf>
    <xf numFmtId="0" fontId="10" fillId="0" borderId="6" xfId="1" applyNumberFormat="1" applyFont="1" applyBorder="1" applyAlignment="1">
      <alignment horizontal="left" vertical="top" wrapText="1"/>
    </xf>
    <xf numFmtId="49" fontId="10" fillId="0" borderId="6" xfId="1" applyNumberFormat="1" applyFont="1" applyBorder="1" applyAlignment="1">
      <alignment horizontal="right" vertical="top" wrapText="1"/>
    </xf>
    <xf numFmtId="0" fontId="2" fillId="0" borderId="7" xfId="1" applyNumberFormat="1" applyFont="1" applyBorder="1" applyAlignment="1">
      <alignment horizontal="center" wrapText="1"/>
    </xf>
    <xf numFmtId="49" fontId="2" fillId="0" borderId="7" xfId="1" applyNumberFormat="1" applyFont="1" applyBorder="1" applyAlignment="1">
      <alignment horizontal="center" wrapText="1"/>
    </xf>
    <xf numFmtId="0" fontId="2" fillId="0" borderId="7" xfId="1" applyNumberFormat="1" applyBorder="1" applyAlignment="1">
      <alignment horizontal="center" vertical="top" wrapText="1"/>
    </xf>
    <xf numFmtId="0" fontId="2" fillId="0" borderId="7" xfId="1" applyNumberFormat="1" applyFont="1" applyBorder="1" applyAlignment="1">
      <alignment horizontal="center" vertical="top" wrapText="1"/>
    </xf>
    <xf numFmtId="0" fontId="2" fillId="0" borderId="0" xfId="1" applyNumberFormat="1" applyBorder="1" applyAlignment="1">
      <alignment wrapText="1"/>
    </xf>
    <xf numFmtId="0" fontId="2" fillId="0" borderId="0" xfId="1" applyNumberFormat="1" applyFont="1" applyBorder="1" applyAlignment="1">
      <alignment vertical="top" wrapText="1"/>
    </xf>
    <xf numFmtId="0" fontId="2" fillId="0" borderId="0" xfId="1" applyNumberFormat="1" applyBorder="1" applyAlignment="1">
      <alignment vertical="top" wrapText="1"/>
    </xf>
    <xf numFmtId="0" fontId="13" fillId="0" borderId="0" xfId="1" applyNumberFormat="1" applyFont="1" applyBorder="1" applyAlignment="1">
      <alignment vertical="top"/>
    </xf>
    <xf numFmtId="0" fontId="2" fillId="0" borderId="0" xfId="1" applyNumberFormat="1" applyFont="1" applyBorder="1" applyAlignment="1">
      <alignment vertical="top"/>
    </xf>
    <xf numFmtId="0" fontId="7" fillId="0" borderId="0" xfId="1" applyNumberFormat="1" applyFont="1" applyAlignment="1">
      <alignment horizontal="right"/>
    </xf>
    <xf numFmtId="0" fontId="14" fillId="0" borderId="0" xfId="1" applyNumberFormat="1" applyFont="1" applyBorder="1" applyAlignment="1">
      <alignment horizontal="center" vertical="center"/>
    </xf>
    <xf numFmtId="0" fontId="2" fillId="0" borderId="0" xfId="1" applyNumberFormat="1" applyFont="1" applyAlignment="1"/>
    <xf numFmtId="0" fontId="6" fillId="0" borderId="0" xfId="1" applyNumberFormat="1" applyFont="1" applyBorder="1" applyAlignment="1">
      <alignment horizontal="right" vertical="top"/>
    </xf>
    <xf numFmtId="0" fontId="2" fillId="0" borderId="0" xfId="1" applyNumberFormat="1" applyFont="1" applyAlignment="1">
      <alignment horizontal="right"/>
    </xf>
    <xf numFmtId="0" fontId="2" fillId="0" borderId="0" xfId="1" applyNumberFormat="1" applyAlignment="1">
      <alignment horizontal="left" vertical="top" wrapText="1"/>
    </xf>
    <xf numFmtId="0" fontId="2" fillId="0" borderId="0" xfId="1" applyNumberFormat="1" applyAlignment="1">
      <alignment wrapText="1"/>
    </xf>
    <xf numFmtId="0" fontId="2" fillId="0" borderId="0" xfId="1" applyNumberFormat="1" applyAlignment="1">
      <alignment horizontal="left" wrapText="1"/>
    </xf>
    <xf numFmtId="0" fontId="2" fillId="0" borderId="0" xfId="1" applyNumberFormat="1" applyFont="1" applyAlignment="1">
      <alignment horizontal="left" wrapText="1"/>
    </xf>
    <xf numFmtId="0" fontId="2" fillId="0" borderId="0" xfId="1" applyNumberFormat="1" applyFont="1" applyAlignment="1">
      <alignment vertical="center" wrapText="1"/>
    </xf>
    <xf numFmtId="0" fontId="2" fillId="0" borderId="0" xfId="1" applyNumberFormat="1" applyAlignment="1">
      <alignment horizontal="left" vertical="center" wrapText="1"/>
    </xf>
    <xf numFmtId="3" fontId="2" fillId="0" borderId="1" xfId="1" applyNumberFormat="1" applyBorder="1" applyAlignment="1">
      <alignment horizontal="center" vertical="center" wrapText="1"/>
    </xf>
    <xf numFmtId="0" fontId="2" fillId="0" borderId="1" xfId="1" applyNumberForma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0" xfId="1" applyNumberFormat="1" applyAlignment="1">
      <alignment horizontal="center" wrapText="1"/>
    </xf>
    <xf numFmtId="0" fontId="2" fillId="0" borderId="1" xfId="1" applyNumberFormat="1" applyBorder="1" applyAlignment="1">
      <alignment horizontal="center" vertical="top" wrapText="1"/>
    </xf>
    <xf numFmtId="0" fontId="2" fillId="0" borderId="0" xfId="1" applyNumberFormat="1" applyFont="1" applyAlignment="1">
      <alignment vertical="top" wrapText="1"/>
    </xf>
    <xf numFmtId="0" fontId="2" fillId="0" borderId="0" xfId="1" applyNumberFormat="1" applyAlignment="1">
      <alignment vertical="top" wrapText="1"/>
    </xf>
    <xf numFmtId="0" fontId="2" fillId="0" borderId="0" xfId="1" applyNumberFormat="1" applyFont="1" applyAlignment="1">
      <alignment horizontal="center" vertical="top" wrapText="1"/>
    </xf>
    <xf numFmtId="0" fontId="10" fillId="0" borderId="0" xfId="1" applyNumberFormat="1" applyFont="1" applyAlignment="1">
      <alignment vertical="top" wrapText="1"/>
    </xf>
    <xf numFmtId="0" fontId="10" fillId="0" borderId="0" xfId="1" applyNumberFormat="1" applyFont="1" applyAlignment="1">
      <alignment horizontal="right" wrapText="1"/>
    </xf>
    <xf numFmtId="0" fontId="16" fillId="0" borderId="1" xfId="1" applyNumberFormat="1" applyFont="1" applyBorder="1" applyAlignment="1">
      <alignment horizontal="center" vertical="center" wrapText="1"/>
    </xf>
    <xf numFmtId="0" fontId="16" fillId="0" borderId="1" xfId="1" applyNumberFormat="1" applyFont="1" applyBorder="1" applyAlignment="1">
      <alignment horizontal="center" vertical="center" wrapText="1" indent="1"/>
    </xf>
    <xf numFmtId="0" fontId="2" fillId="0" borderId="1" xfId="1" applyNumberFormat="1" applyFont="1" applyBorder="1" applyAlignment="1">
      <alignment horizontal="right" vertical="top" wrapText="1"/>
    </xf>
    <xf numFmtId="0" fontId="2" fillId="0" borderId="1" xfId="1" applyNumberFormat="1" applyFont="1" applyBorder="1" applyAlignment="1">
      <alignment horizontal="center" wrapText="1"/>
    </xf>
    <xf numFmtId="0" fontId="2" fillId="0" borderId="0" xfId="1" applyNumberFormat="1" applyFont="1" applyBorder="1" applyAlignment="1">
      <alignment wrapText="1"/>
    </xf>
    <xf numFmtId="0" fontId="7" fillId="0" borderId="0" xfId="1" applyNumberFormat="1" applyFont="1" applyAlignment="1">
      <alignment horizontal="right" wrapText="1"/>
    </xf>
    <xf numFmtId="0" fontId="2" fillId="0" borderId="0" xfId="1" applyNumberFormat="1" applyFont="1" applyAlignment="1">
      <alignment horizontal="right" vertical="top"/>
    </xf>
    <xf numFmtId="0" fontId="12" fillId="0" borderId="0" xfId="1" applyNumberFormat="1" applyFont="1" applyAlignment="1">
      <alignment horizontal="right" vertical="top"/>
    </xf>
    <xf numFmtId="49" fontId="2" fillId="0" borderId="0" xfId="0" applyNumberFormat="1" applyFont="1" applyAlignment="1">
      <alignment horizontal="right" wrapText="1"/>
    </xf>
    <xf numFmtId="49" fontId="5" fillId="0" borderId="0" xfId="0" applyNumberFormat="1" applyFont="1"/>
    <xf numFmtId="49" fontId="2" fillId="0" borderId="9" xfId="0" applyNumberFormat="1" applyFont="1" applyBorder="1" applyAlignment="1">
      <alignment horizontal="right" wrapText="1"/>
    </xf>
    <xf numFmtId="49" fontId="2" fillId="0" borderId="9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wrapText="1"/>
    </xf>
    <xf numFmtId="0" fontId="2" fillId="0" borderId="0" xfId="1" applyNumberFormat="1" applyAlignment="1">
      <alignment horizontal="right"/>
    </xf>
    <xf numFmtId="0" fontId="2" fillId="0" borderId="0" xfId="1" applyNumberFormat="1" applyAlignment="1">
      <alignment horizontal="right" wrapText="1"/>
    </xf>
    <xf numFmtId="0" fontId="2" fillId="0" borderId="9" xfId="1" applyNumberFormat="1" applyFont="1" applyBorder="1" applyAlignment="1">
      <alignment wrapText="1"/>
    </xf>
    <xf numFmtId="0" fontId="2" fillId="0" borderId="9" xfId="1" applyNumberFormat="1" applyBorder="1" applyAlignment="1">
      <alignment horizontal="right" wrapText="1"/>
    </xf>
    <xf numFmtId="49" fontId="5" fillId="0" borderId="0" xfId="0" applyNumberFormat="1" applyFont="1" applyAlignment="1">
      <alignment horizontal="left" vertical="top" wrapText="1"/>
    </xf>
    <xf numFmtId="49" fontId="6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49" fontId="2" fillId="0" borderId="6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 wrapText="1"/>
    </xf>
    <xf numFmtId="49" fontId="12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/>
    </xf>
    <xf numFmtId="49" fontId="17" fillId="0" borderId="0" xfId="0" applyNumberFormat="1" applyFont="1" applyAlignment="1">
      <alignment horizontal="right" vertical="top" wrapText="1"/>
    </xf>
    <xf numFmtId="49" fontId="8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right" wrapText="1"/>
    </xf>
    <xf numFmtId="49" fontId="2" fillId="0" borderId="8" xfId="0" applyNumberFormat="1" applyFont="1" applyBorder="1" applyAlignment="1">
      <alignment horizontal="right" wrapText="1"/>
    </xf>
    <xf numFmtId="49" fontId="0" fillId="0" borderId="10" xfId="0" applyNumberFormat="1" applyBorder="1" applyAlignment="1">
      <alignment horizontal="center" vertical="top" wrapText="1"/>
    </xf>
    <xf numFmtId="49" fontId="0" fillId="0" borderId="11" xfId="0" applyNumberFormat="1" applyBorder="1" applyAlignment="1">
      <alignment horizontal="center" vertical="top" wrapText="1"/>
    </xf>
    <xf numFmtId="49" fontId="0" fillId="0" borderId="12" xfId="0" applyNumberFormat="1" applyBorder="1" applyAlignment="1">
      <alignment horizontal="center" vertical="top" wrapText="1"/>
    </xf>
    <xf numFmtId="49" fontId="21" fillId="0" borderId="0" xfId="0" applyNumberFormat="1" applyFont="1" applyBorder="1" applyAlignment="1">
      <alignment horizontal="right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right" wrapText="1"/>
    </xf>
    <xf numFmtId="49" fontId="2" fillId="0" borderId="9" xfId="0" applyNumberFormat="1" applyFont="1" applyBorder="1" applyAlignment="1">
      <alignment horizontal="right" wrapText="1"/>
    </xf>
    <xf numFmtId="49" fontId="5" fillId="0" borderId="0" xfId="0" applyNumberFormat="1" applyFont="1" applyAlignment="1">
      <alignment horizontal="left" vertical="top"/>
    </xf>
    <xf numFmtId="49" fontId="5" fillId="0" borderId="9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2" fillId="0" borderId="9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0" fontId="12" fillId="0" borderId="0" xfId="1" applyNumberFormat="1" applyFont="1" applyAlignment="1">
      <alignment vertical="top" wrapText="1"/>
    </xf>
    <xf numFmtId="0" fontId="2" fillId="0" borderId="0" xfId="1" applyNumberFormat="1" applyFont="1" applyAlignment="1">
      <alignment horizontal="left" vertical="top" wrapText="1"/>
    </xf>
    <xf numFmtId="0" fontId="14" fillId="0" borderId="0" xfId="1" applyNumberFormat="1" applyFont="1" applyBorder="1" applyAlignment="1">
      <alignment horizontal="left" vertical="top" wrapText="1"/>
    </xf>
    <xf numFmtId="49" fontId="10" fillId="0" borderId="5" xfId="1" applyNumberFormat="1" applyFont="1" applyBorder="1" applyAlignment="1">
      <alignment horizontal="right" vertical="top" wrapText="1"/>
    </xf>
    <xf numFmtId="0" fontId="10" fillId="0" borderId="5" xfId="1" applyNumberFormat="1" applyFont="1" applyBorder="1" applyAlignment="1">
      <alignment horizontal="left" vertical="top" wrapText="1"/>
    </xf>
    <xf numFmtId="0" fontId="2" fillId="0" borderId="5" xfId="1" applyNumberFormat="1" applyFont="1" applyBorder="1" applyAlignment="1">
      <alignment horizontal="left" vertical="top" wrapText="1"/>
    </xf>
    <xf numFmtId="3" fontId="2" fillId="0" borderId="5" xfId="1" applyNumberFormat="1" applyFont="1" applyBorder="1" applyAlignment="1">
      <alignment horizontal="right" vertical="top" wrapText="1"/>
    </xf>
    <xf numFmtId="0" fontId="13" fillId="0" borderId="0" xfId="1" applyNumberFormat="1" applyFont="1" applyBorder="1" applyAlignment="1">
      <alignment horizontal="left" vertical="top" wrapText="1"/>
    </xf>
    <xf numFmtId="0" fontId="2" fillId="0" borderId="0" xfId="1" applyNumberFormat="1" applyAlignment="1">
      <alignment horizontal="left" vertical="top" wrapText="1"/>
    </xf>
    <xf numFmtId="0" fontId="2" fillId="0" borderId="0" xfId="1" applyAlignment="1">
      <alignment horizontal="left" vertical="top"/>
    </xf>
    <xf numFmtId="0" fontId="20" fillId="0" borderId="0" xfId="1" applyNumberFormat="1" applyFont="1" applyBorder="1" applyAlignment="1">
      <alignment horizontal="right" vertical="top" wrapText="1"/>
    </xf>
    <xf numFmtId="0" fontId="10" fillId="0" borderId="0" xfId="1" applyNumberFormat="1" applyFont="1" applyBorder="1" applyAlignment="1">
      <alignment horizontal="center" vertical="top" wrapText="1"/>
    </xf>
    <xf numFmtId="0" fontId="19" fillId="0" borderId="0" xfId="1" applyNumberFormat="1" applyFont="1" applyBorder="1" applyAlignment="1">
      <alignment horizontal="center" vertical="center"/>
    </xf>
    <xf numFmtId="0" fontId="2" fillId="0" borderId="0" xfId="1" applyNumberFormat="1" applyBorder="1" applyAlignment="1">
      <alignment horizontal="left" vertical="top" wrapText="1"/>
    </xf>
    <xf numFmtId="0" fontId="2" fillId="0" borderId="0" xfId="1" applyNumberFormat="1" applyFont="1" applyBorder="1" applyAlignment="1">
      <alignment horizontal="left" vertical="top" wrapText="1"/>
    </xf>
    <xf numFmtId="0" fontId="2" fillId="0" borderId="0" xfId="1" applyAlignment="1">
      <alignment horizontal="left" vertical="top" wrapText="1"/>
    </xf>
    <xf numFmtId="0" fontId="2" fillId="0" borderId="0" xfId="1" applyNumberFormat="1" applyFont="1" applyAlignment="1">
      <alignment horizontal="left" wrapText="1"/>
    </xf>
    <xf numFmtId="4" fontId="2" fillId="0" borderId="0" xfId="1" applyNumberFormat="1" applyFont="1" applyAlignment="1">
      <alignment horizontal="right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0" fontId="2" fillId="0" borderId="12" xfId="1" applyNumberFormat="1" applyFont="1" applyBorder="1" applyAlignment="1">
      <alignment horizontal="center" vertical="center" wrapText="1"/>
    </xf>
    <xf numFmtId="165" fontId="2" fillId="0" borderId="10" xfId="1" applyNumberFormat="1" applyBorder="1" applyAlignment="1">
      <alignment horizontal="center" vertical="center" wrapText="1"/>
    </xf>
    <xf numFmtId="165" fontId="2" fillId="0" borderId="12" xfId="1" applyNumberFormat="1" applyBorder="1" applyAlignment="1">
      <alignment horizontal="center" vertical="center" wrapText="1"/>
    </xf>
    <xf numFmtId="0" fontId="15" fillId="0" borderId="13" xfId="1" applyNumberFormat="1" applyFont="1" applyBorder="1" applyAlignment="1">
      <alignment horizontal="left" vertical="top" wrapText="1"/>
    </xf>
    <xf numFmtId="0" fontId="2" fillId="0" borderId="13" xfId="1" applyNumberFormat="1" applyFont="1" applyBorder="1" applyAlignment="1">
      <alignment horizontal="left" vertical="top" wrapText="1"/>
    </xf>
    <xf numFmtId="0" fontId="2" fillId="0" borderId="0" xfId="1" applyNumberFormat="1" applyFont="1" applyAlignment="1">
      <alignment horizontal="left" vertical="center" wrapText="1"/>
    </xf>
    <xf numFmtId="3" fontId="2" fillId="0" borderId="0" xfId="1" applyNumberFormat="1" applyAlignment="1">
      <alignment horizontal="right" vertical="center" wrapText="1"/>
    </xf>
    <xf numFmtId="0" fontId="2" fillId="0" borderId="10" xfId="1" applyNumberFormat="1" applyBorder="1" applyAlignment="1">
      <alignment horizontal="center" vertical="center" wrapText="1"/>
    </xf>
    <xf numFmtId="0" fontId="2" fillId="0" borderId="12" xfId="1" applyNumberFormat="1" applyBorder="1" applyAlignment="1">
      <alignment horizontal="center" vertical="center" wrapText="1"/>
    </xf>
    <xf numFmtId="0" fontId="10" fillId="0" borderId="0" xfId="1" applyNumberFormat="1" applyFont="1" applyAlignment="1">
      <alignment horizontal="left" vertical="top" wrapText="1"/>
    </xf>
    <xf numFmtId="0" fontId="2" fillId="0" borderId="10" xfId="1" applyNumberFormat="1" applyFont="1" applyBorder="1" applyAlignment="1">
      <alignment horizontal="center" wrapText="1"/>
    </xf>
    <xf numFmtId="0" fontId="2" fillId="0" borderId="12" xfId="1" applyNumberFormat="1" applyFont="1" applyBorder="1" applyAlignment="1">
      <alignment horizontal="center" wrapText="1"/>
    </xf>
    <xf numFmtId="0" fontId="2" fillId="0" borderId="10" xfId="1" applyNumberFormat="1" applyBorder="1" applyAlignment="1">
      <alignment horizontal="center" wrapText="1"/>
    </xf>
    <xf numFmtId="0" fontId="2" fillId="0" borderId="12" xfId="1" applyNumberFormat="1" applyBorder="1" applyAlignment="1">
      <alignment horizontal="center" wrapText="1"/>
    </xf>
    <xf numFmtId="0" fontId="12" fillId="0" borderId="0" xfId="1" applyNumberFormat="1" applyFont="1" applyAlignment="1">
      <alignment horizontal="left" vertical="top" wrapText="1"/>
    </xf>
    <xf numFmtId="0" fontId="10" fillId="0" borderId="10" xfId="1" applyNumberFormat="1" applyFont="1" applyBorder="1" applyAlignment="1">
      <alignment horizontal="center" vertical="center" wrapText="1"/>
    </xf>
    <xf numFmtId="0" fontId="10" fillId="0" borderId="12" xfId="1" applyNumberFormat="1" applyFont="1" applyBorder="1" applyAlignment="1">
      <alignment horizontal="center" vertical="center" wrapText="1"/>
    </xf>
    <xf numFmtId="0" fontId="16" fillId="0" borderId="10" xfId="1" applyNumberFormat="1" applyFont="1" applyBorder="1" applyAlignment="1">
      <alignment horizontal="center" vertical="center" wrapText="1"/>
    </xf>
    <xf numFmtId="0" fontId="16" fillId="0" borderId="12" xfId="1" applyNumberFormat="1" applyFont="1" applyBorder="1" applyAlignment="1">
      <alignment horizontal="center" vertical="center" wrapText="1"/>
    </xf>
    <xf numFmtId="165" fontId="10" fillId="0" borderId="10" xfId="1" applyNumberFormat="1" applyFont="1" applyBorder="1" applyAlignment="1">
      <alignment horizontal="center" vertical="center" wrapText="1"/>
    </xf>
    <xf numFmtId="165" fontId="10" fillId="0" borderId="12" xfId="1" applyNumberFormat="1" applyFont="1" applyBorder="1" applyAlignment="1">
      <alignment horizontal="center" vertical="center" wrapText="1"/>
    </xf>
    <xf numFmtId="0" fontId="10" fillId="0" borderId="0" xfId="1" applyNumberFormat="1" applyFont="1" applyBorder="1" applyAlignment="1">
      <alignment horizontal="left" vertical="top" wrapText="1"/>
    </xf>
    <xf numFmtId="0" fontId="10" fillId="0" borderId="0" xfId="1" applyNumberFormat="1" applyFont="1" applyBorder="1" applyAlignment="1">
      <alignment horizontal="center" wrapText="1"/>
    </xf>
    <xf numFmtId="0" fontId="2" fillId="0" borderId="9" xfId="1" applyNumberFormat="1" applyBorder="1" applyAlignment="1">
      <alignment horizontal="right" wrapText="1"/>
    </xf>
  </cellXfs>
  <cellStyles count="8">
    <cellStyle name="Обычный" xfId="0" builtinId="0"/>
    <cellStyle name="Обычный 2" xfId="1"/>
    <cellStyle name="Обычный 2 2" xfId="2"/>
    <cellStyle name="Обычный 3" xfId="6"/>
    <cellStyle name="Обычный 4" xfId="4"/>
    <cellStyle name="Обычный 5" xfId="3"/>
    <cellStyle name="Обычный 6" xfId="7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V37"/>
  <sheetViews>
    <sheetView tabSelected="1" zoomScale="97" zoomScaleNormal="97" workbookViewId="0">
      <selection activeCell="B28" sqref="A28:E39"/>
    </sheetView>
  </sheetViews>
  <sheetFormatPr defaultColWidth="11.5703125" defaultRowHeight="12.75" x14ac:dyDescent="0.2"/>
  <cols>
    <col min="1" max="1" width="5.7109375" style="3" customWidth="1"/>
    <col min="2" max="2" width="32.85546875" style="3" customWidth="1"/>
    <col min="3" max="3" width="36.28515625" style="3" customWidth="1"/>
    <col min="4" max="5" width="15.7109375" style="3" customWidth="1"/>
    <col min="6" max="6" width="15.7109375" style="4" customWidth="1"/>
    <col min="7" max="7" width="14.85546875" style="4" hidden="1" customWidth="1"/>
    <col min="8" max="16384" width="11.5703125" style="1"/>
  </cols>
  <sheetData>
    <row r="1" spans="1:8" ht="30.75" customHeight="1" x14ac:dyDescent="0.2">
      <c r="A1" s="114"/>
      <c r="B1" s="115"/>
      <c r="C1" s="116"/>
      <c r="D1" s="116"/>
      <c r="E1" s="116"/>
      <c r="F1" s="116"/>
      <c r="G1" s="116"/>
    </row>
    <row r="2" spans="1:8" ht="15.75" x14ac:dyDescent="0.25">
      <c r="A2" s="117" t="s">
        <v>284</v>
      </c>
      <c r="B2" s="117"/>
      <c r="C2" s="117"/>
      <c r="D2" s="117"/>
      <c r="E2" s="117"/>
      <c r="F2" s="117"/>
      <c r="G2" s="117"/>
    </row>
    <row r="3" spans="1:8" x14ac:dyDescent="0.2">
      <c r="A3" s="118" t="s">
        <v>0</v>
      </c>
      <c r="B3" s="118"/>
      <c r="C3" s="118"/>
      <c r="D3" s="118"/>
      <c r="E3" s="118"/>
      <c r="F3" s="118"/>
      <c r="G3" s="118"/>
    </row>
    <row r="4" spans="1:8" x14ac:dyDescent="0.2">
      <c r="A4" s="14"/>
      <c r="B4" s="14"/>
      <c r="C4" s="14"/>
      <c r="D4" s="14"/>
      <c r="E4" s="14"/>
      <c r="F4" s="14"/>
      <c r="G4" s="14"/>
    </row>
    <row r="5" spans="1:8" ht="38.25" customHeight="1" x14ac:dyDescent="0.2">
      <c r="A5" s="128" t="s">
        <v>10</v>
      </c>
      <c r="B5" s="128"/>
      <c r="C5" s="129" t="s">
        <v>285</v>
      </c>
      <c r="D5" s="129"/>
      <c r="E5" s="129"/>
      <c r="F5" s="129"/>
      <c r="G5" s="129"/>
    </row>
    <row r="6" spans="1:8" ht="15" x14ac:dyDescent="0.2">
      <c r="A6" s="7"/>
      <c r="B6" s="8"/>
      <c r="C6" s="7"/>
      <c r="D6" s="7"/>
      <c r="E6" s="7"/>
      <c r="F6" s="7"/>
      <c r="G6" s="7"/>
    </row>
    <row r="7" spans="1:8" ht="15" x14ac:dyDescent="0.2">
      <c r="A7" s="7"/>
      <c r="B7" s="8"/>
      <c r="C7" s="7"/>
      <c r="D7" s="7"/>
      <c r="E7" s="7"/>
      <c r="F7" s="7"/>
      <c r="G7" s="7"/>
    </row>
    <row r="8" spans="1:8" ht="26.1" customHeight="1" x14ac:dyDescent="0.2">
      <c r="A8" s="130" t="s">
        <v>12</v>
      </c>
      <c r="B8" s="130"/>
      <c r="C8" s="131" t="s">
        <v>13</v>
      </c>
      <c r="D8" s="132"/>
      <c r="E8" s="132"/>
      <c r="F8" s="132"/>
      <c r="G8" s="132"/>
    </row>
    <row r="9" spans="1:8" ht="15" customHeight="1" x14ac:dyDescent="0.2">
      <c r="A9" s="15"/>
      <c r="B9" s="15"/>
      <c r="C9" s="16"/>
      <c r="D9" s="16"/>
      <c r="E9" s="16"/>
      <c r="F9" s="16"/>
      <c r="G9" s="16"/>
    </row>
    <row r="10" spans="1:8" x14ac:dyDescent="0.2">
      <c r="A10" s="14"/>
      <c r="B10" s="14"/>
      <c r="C10" s="106" t="s">
        <v>14</v>
      </c>
      <c r="D10" s="106"/>
      <c r="E10" s="106"/>
      <c r="F10" s="106"/>
      <c r="G10" s="106"/>
    </row>
    <row r="11" spans="1:8" ht="15" hidden="1" x14ac:dyDescent="0.2">
      <c r="A11" s="7"/>
      <c r="B11" s="8"/>
      <c r="C11" s="7"/>
      <c r="D11" s="7"/>
      <c r="E11" s="7"/>
      <c r="F11" s="7"/>
      <c r="G11" s="7"/>
    </row>
    <row r="12" spans="1:8" ht="25.35" customHeight="1" x14ac:dyDescent="0.2">
      <c r="A12" s="111" t="s">
        <v>1</v>
      </c>
      <c r="B12" s="111"/>
      <c r="C12" s="113" t="s">
        <v>15</v>
      </c>
      <c r="D12" s="113"/>
      <c r="E12" s="113"/>
      <c r="F12" s="113"/>
      <c r="G12" s="113"/>
    </row>
    <row r="13" spans="1:8" x14ac:dyDescent="0.2">
      <c r="A13" s="108"/>
      <c r="B13" s="108"/>
      <c r="C13" s="108"/>
      <c r="D13" s="108"/>
      <c r="E13" s="108"/>
      <c r="F13" s="108"/>
      <c r="G13" s="108"/>
      <c r="H13" s="2"/>
    </row>
    <row r="14" spans="1:8" x14ac:dyDescent="0.2">
      <c r="A14" s="112" t="s">
        <v>2</v>
      </c>
      <c r="B14" s="112"/>
      <c r="C14" s="113" t="s">
        <v>16</v>
      </c>
      <c r="D14" s="113"/>
      <c r="E14" s="113"/>
      <c r="F14" s="113"/>
      <c r="G14" s="113"/>
    </row>
    <row r="15" spans="1:8" x14ac:dyDescent="0.2">
      <c r="A15" s="108"/>
      <c r="B15" s="108"/>
      <c r="C15" s="108"/>
      <c r="D15" s="108"/>
      <c r="E15" s="108"/>
      <c r="F15" s="108"/>
      <c r="G15" s="108"/>
    </row>
    <row r="16" spans="1:8" x14ac:dyDescent="0.2">
      <c r="F16" s="9"/>
      <c r="G16" s="7"/>
    </row>
    <row r="17" spans="1:256" ht="40.15" customHeight="1" x14ac:dyDescent="0.2">
      <c r="A17" s="109" t="s">
        <v>3</v>
      </c>
      <c r="B17" s="109" t="s">
        <v>4</v>
      </c>
      <c r="C17" s="109" t="s">
        <v>5</v>
      </c>
      <c r="D17" s="121" t="s">
        <v>9</v>
      </c>
      <c r="E17" s="122"/>
      <c r="F17" s="123"/>
    </row>
    <row r="18" spans="1:256" ht="23.45" customHeight="1" x14ac:dyDescent="0.2">
      <c r="A18" s="110"/>
      <c r="B18" s="110"/>
      <c r="C18" s="110"/>
      <c r="D18" s="19" t="s">
        <v>6</v>
      </c>
      <c r="E18" s="19" t="s">
        <v>7</v>
      </c>
      <c r="F18" s="19" t="s">
        <v>8</v>
      </c>
    </row>
    <row r="19" spans="1:256" x14ac:dyDescent="0.2">
      <c r="A19" s="17">
        <v>1</v>
      </c>
      <c r="B19" s="17">
        <v>2</v>
      </c>
      <c r="C19" s="17">
        <v>3</v>
      </c>
      <c r="D19" s="18">
        <v>4</v>
      </c>
      <c r="E19" s="18">
        <v>5</v>
      </c>
      <c r="F19" s="18">
        <v>6</v>
      </c>
    </row>
    <row r="20" spans="1:256" x14ac:dyDescent="0.2">
      <c r="A20" s="20" t="s">
        <v>17</v>
      </c>
      <c r="B20" s="21" t="s">
        <v>18</v>
      </c>
      <c r="C20" s="20" t="s">
        <v>17</v>
      </c>
      <c r="D20" s="22">
        <v>1103190</v>
      </c>
      <c r="E20" s="22">
        <v>220638</v>
      </c>
      <c r="F20" s="22">
        <v>1323828</v>
      </c>
    </row>
    <row r="21" spans="1:256" x14ac:dyDescent="0.2">
      <c r="A21" s="20" t="s">
        <v>19</v>
      </c>
      <c r="B21" s="21" t="s">
        <v>20</v>
      </c>
      <c r="C21" s="20" t="s">
        <v>19</v>
      </c>
      <c r="D21" s="22">
        <v>436224</v>
      </c>
      <c r="E21" s="22">
        <v>87244.800000000003</v>
      </c>
      <c r="F21" s="22">
        <v>523468.79999999999</v>
      </c>
    </row>
    <row r="22" spans="1:256" x14ac:dyDescent="0.2">
      <c r="A22" s="20" t="s">
        <v>21</v>
      </c>
      <c r="B22" s="21" t="s">
        <v>22</v>
      </c>
      <c r="C22" s="20" t="s">
        <v>21</v>
      </c>
      <c r="D22" s="22">
        <v>707447</v>
      </c>
      <c r="E22" s="22">
        <v>141489.4</v>
      </c>
      <c r="F22" s="22">
        <v>848936.4</v>
      </c>
    </row>
    <row r="23" spans="1:256" x14ac:dyDescent="0.2">
      <c r="A23" s="23" t="s">
        <v>23</v>
      </c>
      <c r="B23" s="25" t="s">
        <v>24</v>
      </c>
      <c r="C23" s="23" t="s">
        <v>15</v>
      </c>
      <c r="D23" s="26">
        <f>ROUND(($D$21+$D$20+$D$22),2)</f>
        <v>2246861</v>
      </c>
      <c r="E23" s="26">
        <f>ROUND(($E$21+$E$20+$E$22),2)</f>
        <v>449372.2</v>
      </c>
      <c r="F23" s="26">
        <f>ROUND(($F$21+$F$20+$F$22),2)</f>
        <v>2696233.2</v>
      </c>
    </row>
    <row r="24" spans="1:256" x14ac:dyDescent="0.2">
      <c r="A24" s="23" t="s">
        <v>25</v>
      </c>
      <c r="B24" s="25" t="s">
        <v>26</v>
      </c>
      <c r="C24" s="24" t="s">
        <v>27</v>
      </c>
      <c r="D24" s="26">
        <f>ROUND(($D$23),2)</f>
        <v>2246861</v>
      </c>
      <c r="E24" s="26">
        <f>ROUND(($E$23),2)</f>
        <v>449372.2</v>
      </c>
      <c r="F24" s="26">
        <f>ROUND(($F$23),2)</f>
        <v>2696233.2</v>
      </c>
    </row>
    <row r="25" spans="1:256" x14ac:dyDescent="0.2">
      <c r="A25" s="10"/>
      <c r="B25" s="10"/>
      <c r="F25" s="11"/>
    </row>
    <row r="26" spans="1:256" s="4" customFormat="1" x14ac:dyDescent="0.2">
      <c r="A26" s="3"/>
      <c r="B26" s="3"/>
      <c r="C26" s="3"/>
      <c r="D26" s="3"/>
      <c r="E26" s="3"/>
      <c r="F26" s="11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s="4" customFormat="1" x14ac:dyDescent="0.2">
      <c r="A27" s="107"/>
      <c r="B27" s="107"/>
      <c r="C27" s="3"/>
      <c r="D27" s="3"/>
      <c r="E27" s="3"/>
      <c r="G27" s="13"/>
      <c r="H27" s="6"/>
      <c r="I27" s="6"/>
      <c r="J27" s="5"/>
      <c r="K27" s="5"/>
      <c r="IV27"/>
    </row>
    <row r="28" spans="1:256" x14ac:dyDescent="0.2">
      <c r="B28" s="97"/>
      <c r="F28" s="12"/>
    </row>
    <row r="29" spans="1:256" x14ac:dyDescent="0.2">
      <c r="F29" s="12"/>
    </row>
    <row r="30" spans="1:256" ht="29.25" customHeight="1" x14ac:dyDescent="0.2">
      <c r="A30" s="124"/>
      <c r="B30" s="124"/>
      <c r="C30" s="120"/>
      <c r="D30" s="120"/>
      <c r="E30" s="120"/>
      <c r="F30" s="98"/>
    </row>
    <row r="31" spans="1:256" x14ac:dyDescent="0.2">
      <c r="A31" s="97"/>
      <c r="B31" s="97"/>
      <c r="C31" s="125"/>
      <c r="D31" s="125"/>
      <c r="E31" s="125"/>
      <c r="F31" s="98"/>
    </row>
    <row r="32" spans="1:256" ht="26.25" customHeight="1" x14ac:dyDescent="0.2">
      <c r="A32" s="126"/>
      <c r="B32" s="126"/>
      <c r="C32" s="127"/>
      <c r="D32" s="127"/>
      <c r="E32" s="127"/>
    </row>
    <row r="33" spans="1:5" x14ac:dyDescent="0.2">
      <c r="A33" s="97"/>
      <c r="B33" s="97"/>
    </row>
    <row r="34" spans="1:5" ht="25.5" customHeight="1" x14ac:dyDescent="0.2">
      <c r="A34" s="119"/>
      <c r="B34" s="119"/>
      <c r="C34" s="120"/>
      <c r="D34" s="120"/>
      <c r="E34" s="120"/>
    </row>
    <row r="37" spans="1:5" x14ac:dyDescent="0.2">
      <c r="B37" s="97"/>
      <c r="C37" s="100"/>
      <c r="D37" s="100"/>
      <c r="E37" s="99"/>
    </row>
  </sheetData>
  <mergeCells count="27">
    <mergeCell ref="A1:B1"/>
    <mergeCell ref="C1:G1"/>
    <mergeCell ref="A2:G2"/>
    <mergeCell ref="A3:G3"/>
    <mergeCell ref="A34:B34"/>
    <mergeCell ref="C34:E34"/>
    <mergeCell ref="D17:F17"/>
    <mergeCell ref="A30:B30"/>
    <mergeCell ref="C30:E30"/>
    <mergeCell ref="C31:E31"/>
    <mergeCell ref="A32:B32"/>
    <mergeCell ref="C32:E32"/>
    <mergeCell ref="A5:B5"/>
    <mergeCell ref="C5:G5"/>
    <mergeCell ref="A8:B8"/>
    <mergeCell ref="C8:G8"/>
    <mergeCell ref="C10:G10"/>
    <mergeCell ref="A27:B27"/>
    <mergeCell ref="A13:G13"/>
    <mergeCell ref="A15:G15"/>
    <mergeCell ref="B17:B18"/>
    <mergeCell ref="C17:C18"/>
    <mergeCell ref="A12:B12"/>
    <mergeCell ref="A14:B14"/>
    <mergeCell ref="C12:G12"/>
    <mergeCell ref="C14:G14"/>
    <mergeCell ref="A17:A18"/>
  </mergeCells>
  <phoneticPr fontId="0" type="noConversion"/>
  <printOptions horizontalCentered="1"/>
  <pageMargins left="0.39374999999999999" right="0.39374999999999999" top="0.59027777777777779" bottom="0.82777777777777772" header="0.51180555555555551" footer="0.59027777777777779"/>
  <pageSetup paperSize="9" firstPageNumber="0" orientation="landscape" r:id="rId1"/>
  <headerFooter alignWithMargins="0">
    <oddFooter>&amp;C&amp;"Arial,Обычный"Страница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110"/>
  <sheetViews>
    <sheetView topLeftCell="A97" workbookViewId="0">
      <selection activeCell="B101" sqref="A101:G115"/>
    </sheetView>
  </sheetViews>
  <sheetFormatPr defaultColWidth="11.5703125" defaultRowHeight="12.75" x14ac:dyDescent="0.2"/>
  <cols>
    <col min="1" max="1" width="3.7109375" style="28" customWidth="1"/>
    <col min="2" max="2" width="26.7109375" style="28" customWidth="1"/>
    <col min="3" max="3" width="7.7109375" style="28" customWidth="1"/>
    <col min="4" max="4" width="5" style="28" customWidth="1"/>
    <col min="5" max="5" width="27.7109375" style="28" customWidth="1"/>
    <col min="6" max="6" width="14.42578125" style="28" customWidth="1"/>
    <col min="7" max="7" width="11.5703125" style="28" customWidth="1"/>
    <col min="8" max="16384" width="11.5703125" style="27"/>
  </cols>
  <sheetData>
    <row r="1" spans="1:7" ht="20.25" customHeight="1" x14ac:dyDescent="0.2">
      <c r="A1" s="133"/>
      <c r="B1" s="133"/>
      <c r="C1" s="143"/>
      <c r="D1" s="143"/>
      <c r="E1" s="143"/>
      <c r="F1" s="143"/>
      <c r="G1" s="143"/>
    </row>
    <row r="2" spans="1:7" s="69" customFormat="1" x14ac:dyDescent="0.2">
      <c r="A2" s="71"/>
      <c r="B2" s="71"/>
      <c r="C2" s="70"/>
      <c r="D2" s="70"/>
      <c r="E2" s="70"/>
      <c r="F2" s="70"/>
      <c r="G2" s="70"/>
    </row>
    <row r="3" spans="1:7" s="69" customFormat="1" x14ac:dyDescent="0.2">
      <c r="A3" s="71"/>
      <c r="B3" s="71"/>
      <c r="C3" s="70"/>
      <c r="D3" s="70"/>
      <c r="E3" s="70"/>
      <c r="F3" s="70"/>
      <c r="G3" s="70"/>
    </row>
    <row r="4" spans="1:7" x14ac:dyDescent="0.2">
      <c r="B4" s="144" t="s">
        <v>141</v>
      </c>
      <c r="C4" s="144"/>
      <c r="D4" s="144"/>
      <c r="E4" s="144"/>
      <c r="F4" s="144"/>
    </row>
    <row r="5" spans="1:7" x14ac:dyDescent="0.2">
      <c r="B5" s="145" t="s">
        <v>140</v>
      </c>
      <c r="C5" s="145"/>
      <c r="D5" s="145"/>
      <c r="E5" s="145"/>
      <c r="F5" s="145"/>
    </row>
    <row r="6" spans="1:7" x14ac:dyDescent="0.2">
      <c r="B6" s="68"/>
      <c r="C6" s="68"/>
      <c r="D6" s="68"/>
      <c r="E6" s="68"/>
      <c r="F6" s="68"/>
    </row>
    <row r="7" spans="1:7" ht="38.25" customHeight="1" x14ac:dyDescent="0.2">
      <c r="A7" s="134" t="s">
        <v>139</v>
      </c>
      <c r="B7" s="134"/>
      <c r="C7" s="134"/>
      <c r="D7" s="135" t="s">
        <v>11</v>
      </c>
      <c r="E7" s="135"/>
      <c r="F7" s="135"/>
      <c r="G7" s="135"/>
    </row>
    <row r="8" spans="1:7" x14ac:dyDescent="0.2">
      <c r="C8" s="67"/>
      <c r="D8" s="67"/>
      <c r="E8" s="67"/>
    </row>
    <row r="9" spans="1:7" ht="12.75" customHeight="1" x14ac:dyDescent="0.2">
      <c r="A9" s="146" t="s">
        <v>138</v>
      </c>
      <c r="B9" s="148"/>
      <c r="C9" s="148"/>
      <c r="D9" s="140" t="s">
        <v>18</v>
      </c>
      <c r="E9" s="140"/>
      <c r="F9" s="140"/>
      <c r="G9" s="140"/>
    </row>
    <row r="10" spans="1:7" x14ac:dyDescent="0.2">
      <c r="A10" s="66"/>
      <c r="B10" s="66"/>
      <c r="C10" s="63"/>
      <c r="D10" s="65"/>
      <c r="E10" s="65"/>
      <c r="F10" s="65"/>
      <c r="G10" s="65"/>
    </row>
    <row r="11" spans="1:7" x14ac:dyDescent="0.2">
      <c r="A11" s="146" t="s">
        <v>137</v>
      </c>
      <c r="B11" s="147"/>
      <c r="C11" s="147"/>
      <c r="D11" s="140"/>
      <c r="E11" s="140"/>
      <c r="F11" s="140"/>
      <c r="G11" s="140"/>
    </row>
    <row r="12" spans="1:7" x14ac:dyDescent="0.2">
      <c r="D12" s="140"/>
      <c r="E12" s="140"/>
      <c r="F12" s="140"/>
      <c r="G12" s="140"/>
    </row>
    <row r="13" spans="1:7" ht="13.5" customHeight="1" x14ac:dyDescent="0.2">
      <c r="A13" s="146" t="s">
        <v>136</v>
      </c>
      <c r="B13" s="146"/>
      <c r="C13" s="146"/>
      <c r="D13" s="140"/>
      <c r="E13" s="140"/>
      <c r="F13" s="140"/>
      <c r="G13" s="140"/>
    </row>
    <row r="14" spans="1:7" ht="42.75" hidden="1" customHeight="1" x14ac:dyDescent="0.2">
      <c r="A14" s="141"/>
      <c r="B14" s="142"/>
      <c r="C14" s="142"/>
      <c r="D14" s="142"/>
      <c r="E14" s="142"/>
      <c r="F14" s="142"/>
      <c r="G14" s="142"/>
    </row>
    <row r="16" spans="1:7" ht="32.25" customHeight="1" x14ac:dyDescent="0.2">
      <c r="A16" s="61" t="s">
        <v>135</v>
      </c>
      <c r="B16" s="60" t="s">
        <v>134</v>
      </c>
      <c r="C16" s="60" t="s">
        <v>133</v>
      </c>
      <c r="D16" s="60" t="s">
        <v>132</v>
      </c>
      <c r="E16" s="60" t="s">
        <v>131</v>
      </c>
      <c r="F16" s="60" t="s">
        <v>130</v>
      </c>
      <c r="G16" s="60" t="s">
        <v>129</v>
      </c>
    </row>
    <row r="17" spans="1:7" x14ac:dyDescent="0.2">
      <c r="A17" s="59">
        <v>1</v>
      </c>
      <c r="B17" s="58">
        <v>2</v>
      </c>
      <c r="C17" s="58">
        <v>3</v>
      </c>
      <c r="D17" s="58">
        <v>4</v>
      </c>
      <c r="E17" s="58">
        <v>5</v>
      </c>
      <c r="F17" s="58">
        <v>6</v>
      </c>
      <c r="G17" s="58">
        <v>7</v>
      </c>
    </row>
    <row r="18" spans="1:7" ht="12.75" customHeight="1" x14ac:dyDescent="0.2">
      <c r="A18" s="31" t="s">
        <v>17</v>
      </c>
      <c r="B18" s="30" t="s">
        <v>62</v>
      </c>
      <c r="C18" s="30"/>
      <c r="D18" s="30"/>
      <c r="E18" s="30" t="s">
        <v>128</v>
      </c>
      <c r="F18" s="30"/>
      <c r="G18" s="36"/>
    </row>
    <row r="19" spans="1:7" ht="153" customHeight="1" x14ac:dyDescent="0.2">
      <c r="A19" s="57" t="s">
        <v>127</v>
      </c>
      <c r="B19" s="56" t="s">
        <v>126</v>
      </c>
      <c r="C19" s="55" t="s">
        <v>91</v>
      </c>
      <c r="D19" s="55">
        <v>30</v>
      </c>
      <c r="E19" s="55" t="s">
        <v>125</v>
      </c>
      <c r="F19" s="55" t="s">
        <v>124</v>
      </c>
      <c r="G19" s="54">
        <f>ROUND(3665  * 30 * 1 * 0.2,0)</f>
        <v>21990</v>
      </c>
    </row>
    <row r="20" spans="1:7" ht="15.75" customHeight="1" x14ac:dyDescent="0.2">
      <c r="A20" s="49" t="s">
        <v>15</v>
      </c>
      <c r="B20" s="48" t="s">
        <v>76</v>
      </c>
      <c r="C20" s="48"/>
      <c r="D20" s="48"/>
      <c r="E20" s="48"/>
      <c r="F20" s="48"/>
      <c r="G20" s="47"/>
    </row>
    <row r="21" spans="1:7" ht="12.75" customHeight="1" x14ac:dyDescent="0.2">
      <c r="A21" s="44" t="s">
        <v>15</v>
      </c>
      <c r="B21" s="46" t="s">
        <v>75</v>
      </c>
      <c r="C21" s="46"/>
      <c r="D21" s="46"/>
      <c r="E21" s="46"/>
      <c r="F21" s="46"/>
      <c r="G21" s="45"/>
    </row>
    <row r="22" spans="1:7" ht="12.75" customHeight="1" x14ac:dyDescent="0.2">
      <c r="A22" s="44" t="s">
        <v>15</v>
      </c>
      <c r="B22" s="46" t="s">
        <v>74</v>
      </c>
      <c r="C22" s="46"/>
      <c r="D22" s="46"/>
      <c r="E22" s="46" t="s">
        <v>73</v>
      </c>
      <c r="F22" s="46"/>
      <c r="G22" s="45"/>
    </row>
    <row r="23" spans="1:7" ht="38.25" customHeight="1" x14ac:dyDescent="0.2">
      <c r="A23" s="44" t="s">
        <v>15</v>
      </c>
      <c r="B23" s="46" t="s">
        <v>72</v>
      </c>
      <c r="C23" s="46"/>
      <c r="D23" s="46"/>
      <c r="E23" s="46" t="s">
        <v>71</v>
      </c>
      <c r="F23" s="46"/>
      <c r="G23" s="45"/>
    </row>
    <row r="24" spans="1:7" ht="15.75" customHeight="1" x14ac:dyDescent="0.2">
      <c r="A24" s="44" t="s">
        <v>15</v>
      </c>
      <c r="B24" s="43" t="s">
        <v>70</v>
      </c>
      <c r="C24" s="43"/>
      <c r="D24" s="43"/>
      <c r="E24" s="43"/>
      <c r="F24" s="43" t="s">
        <v>69</v>
      </c>
      <c r="G24" s="42"/>
    </row>
    <row r="25" spans="1:7" ht="12.75" customHeight="1" x14ac:dyDescent="0.2">
      <c r="A25" s="39" t="s">
        <v>15</v>
      </c>
      <c r="B25" s="41" t="s">
        <v>68</v>
      </c>
      <c r="C25" s="41"/>
      <c r="D25" s="41"/>
      <c r="E25" s="41" t="s">
        <v>123</v>
      </c>
      <c r="F25" s="41"/>
      <c r="G25" s="40"/>
    </row>
    <row r="26" spans="1:7" ht="178.5" customHeight="1" x14ac:dyDescent="0.2">
      <c r="A26" s="53" t="s">
        <v>122</v>
      </c>
      <c r="B26" s="52" t="s">
        <v>92</v>
      </c>
      <c r="C26" s="51" t="s">
        <v>91</v>
      </c>
      <c r="D26" s="51">
        <v>30</v>
      </c>
      <c r="E26" s="51" t="s">
        <v>121</v>
      </c>
      <c r="F26" s="51" t="s">
        <v>120</v>
      </c>
      <c r="G26" s="50">
        <f>ROUND(78  * 30 * 1 * 0.2,0)</f>
        <v>468</v>
      </c>
    </row>
    <row r="27" spans="1:7" ht="15.75" customHeight="1" x14ac:dyDescent="0.2">
      <c r="A27" s="49" t="s">
        <v>15</v>
      </c>
      <c r="B27" s="48" t="s">
        <v>76</v>
      </c>
      <c r="C27" s="48"/>
      <c r="D27" s="48"/>
      <c r="E27" s="48"/>
      <c r="F27" s="48"/>
      <c r="G27" s="47"/>
    </row>
    <row r="28" spans="1:7" ht="12.75" customHeight="1" x14ac:dyDescent="0.2">
      <c r="A28" s="44" t="s">
        <v>15</v>
      </c>
      <c r="B28" s="46" t="s">
        <v>75</v>
      </c>
      <c r="C28" s="46"/>
      <c r="D28" s="46"/>
      <c r="E28" s="46"/>
      <c r="F28" s="46"/>
      <c r="G28" s="45"/>
    </row>
    <row r="29" spans="1:7" ht="12.75" customHeight="1" x14ac:dyDescent="0.2">
      <c r="A29" s="44" t="s">
        <v>15</v>
      </c>
      <c r="B29" s="46" t="s">
        <v>74</v>
      </c>
      <c r="C29" s="46"/>
      <c r="D29" s="46"/>
      <c r="E29" s="46" t="s">
        <v>73</v>
      </c>
      <c r="F29" s="46"/>
      <c r="G29" s="45"/>
    </row>
    <row r="30" spans="1:7" ht="38.25" customHeight="1" x14ac:dyDescent="0.2">
      <c r="A30" s="44" t="s">
        <v>15</v>
      </c>
      <c r="B30" s="46" t="s">
        <v>72</v>
      </c>
      <c r="C30" s="46"/>
      <c r="D30" s="46"/>
      <c r="E30" s="46" t="s">
        <v>71</v>
      </c>
      <c r="F30" s="46"/>
      <c r="G30" s="45"/>
    </row>
    <row r="31" spans="1:7" ht="15.75" customHeight="1" x14ac:dyDescent="0.2">
      <c r="A31" s="44" t="s">
        <v>15</v>
      </c>
      <c r="B31" s="43" t="s">
        <v>70</v>
      </c>
      <c r="C31" s="43"/>
      <c r="D31" s="43"/>
      <c r="E31" s="43"/>
      <c r="F31" s="43" t="s">
        <v>69</v>
      </c>
      <c r="G31" s="42"/>
    </row>
    <row r="32" spans="1:7" ht="12.75" customHeight="1" x14ac:dyDescent="0.2">
      <c r="A32" s="39" t="s">
        <v>15</v>
      </c>
      <c r="B32" s="41" t="s">
        <v>68</v>
      </c>
      <c r="C32" s="41"/>
      <c r="D32" s="41"/>
      <c r="E32" s="41" t="s">
        <v>119</v>
      </c>
      <c r="F32" s="41"/>
      <c r="G32" s="40"/>
    </row>
    <row r="33" spans="1:7" ht="216.75" customHeight="1" x14ac:dyDescent="0.2">
      <c r="A33" s="53" t="s">
        <v>118</v>
      </c>
      <c r="B33" s="52" t="s">
        <v>117</v>
      </c>
      <c r="C33" s="51" t="s">
        <v>111</v>
      </c>
      <c r="D33" s="51">
        <v>84</v>
      </c>
      <c r="E33" s="51" t="s">
        <v>116</v>
      </c>
      <c r="F33" s="51" t="s">
        <v>115</v>
      </c>
      <c r="G33" s="50">
        <f>ROUND(3330  * 84 * 1 * 0.2,0)</f>
        <v>55944</v>
      </c>
    </row>
    <row r="34" spans="1:7" ht="15.75" customHeight="1" x14ac:dyDescent="0.2">
      <c r="A34" s="49" t="s">
        <v>15</v>
      </c>
      <c r="B34" s="48" t="s">
        <v>76</v>
      </c>
      <c r="C34" s="48"/>
      <c r="D34" s="48"/>
      <c r="E34" s="48"/>
      <c r="F34" s="48"/>
      <c r="G34" s="47"/>
    </row>
    <row r="35" spans="1:7" ht="12.75" customHeight="1" x14ac:dyDescent="0.2">
      <c r="A35" s="44" t="s">
        <v>15</v>
      </c>
      <c r="B35" s="46" t="s">
        <v>75</v>
      </c>
      <c r="C35" s="46"/>
      <c r="D35" s="46"/>
      <c r="E35" s="46"/>
      <c r="F35" s="46"/>
      <c r="G35" s="45"/>
    </row>
    <row r="36" spans="1:7" ht="12.75" customHeight="1" x14ac:dyDescent="0.2">
      <c r="A36" s="44" t="s">
        <v>15</v>
      </c>
      <c r="B36" s="46" t="s">
        <v>74</v>
      </c>
      <c r="C36" s="46"/>
      <c r="D36" s="46"/>
      <c r="E36" s="46" t="s">
        <v>73</v>
      </c>
      <c r="F36" s="46"/>
      <c r="G36" s="45"/>
    </row>
    <row r="37" spans="1:7" ht="38.25" customHeight="1" x14ac:dyDescent="0.2">
      <c r="A37" s="44" t="s">
        <v>15</v>
      </c>
      <c r="B37" s="46" t="s">
        <v>72</v>
      </c>
      <c r="C37" s="46"/>
      <c r="D37" s="46"/>
      <c r="E37" s="46" t="s">
        <v>71</v>
      </c>
      <c r="F37" s="46"/>
      <c r="G37" s="45"/>
    </row>
    <row r="38" spans="1:7" ht="15.75" customHeight="1" x14ac:dyDescent="0.2">
      <c r="A38" s="44" t="s">
        <v>15</v>
      </c>
      <c r="B38" s="43" t="s">
        <v>70</v>
      </c>
      <c r="C38" s="43"/>
      <c r="D38" s="43"/>
      <c r="E38" s="43"/>
      <c r="F38" s="43" t="s">
        <v>69</v>
      </c>
      <c r="G38" s="42"/>
    </row>
    <row r="39" spans="1:7" ht="12.75" customHeight="1" x14ac:dyDescent="0.2">
      <c r="A39" s="39" t="s">
        <v>15</v>
      </c>
      <c r="B39" s="41" t="s">
        <v>68</v>
      </c>
      <c r="C39" s="41"/>
      <c r="D39" s="41"/>
      <c r="E39" s="41" t="s">
        <v>114</v>
      </c>
      <c r="F39" s="41"/>
      <c r="G39" s="40"/>
    </row>
    <row r="40" spans="1:7" ht="204" customHeight="1" x14ac:dyDescent="0.2">
      <c r="A40" s="136" t="s">
        <v>113</v>
      </c>
      <c r="B40" s="137" t="s">
        <v>112</v>
      </c>
      <c r="C40" s="138" t="s">
        <v>111</v>
      </c>
      <c r="D40" s="138">
        <v>112</v>
      </c>
      <c r="E40" s="138" t="s">
        <v>110</v>
      </c>
      <c r="F40" s="138" t="s">
        <v>109</v>
      </c>
      <c r="G40" s="139">
        <f>ROUND(3330  * 112 * 1 * 0.2,0)</f>
        <v>74592</v>
      </c>
    </row>
    <row r="41" spans="1:7" ht="12.75" customHeight="1" x14ac:dyDescent="0.2">
      <c r="A41" s="136"/>
      <c r="B41" s="137"/>
      <c r="C41" s="138"/>
      <c r="D41" s="138"/>
      <c r="E41" s="138"/>
      <c r="F41" s="138"/>
      <c r="G41" s="139"/>
    </row>
    <row r="42" spans="1:7" ht="15.75" customHeight="1" x14ac:dyDescent="0.2">
      <c r="A42" s="49" t="s">
        <v>15</v>
      </c>
      <c r="B42" s="48" t="s">
        <v>76</v>
      </c>
      <c r="C42" s="48"/>
      <c r="D42" s="48"/>
      <c r="E42" s="48"/>
      <c r="F42" s="48"/>
      <c r="G42" s="47"/>
    </row>
    <row r="43" spans="1:7" ht="12.75" customHeight="1" x14ac:dyDescent="0.2">
      <c r="A43" s="44" t="s">
        <v>15</v>
      </c>
      <c r="B43" s="46" t="s">
        <v>75</v>
      </c>
      <c r="C43" s="46"/>
      <c r="D43" s="46"/>
      <c r="E43" s="46"/>
      <c r="F43" s="46"/>
      <c r="G43" s="45"/>
    </row>
    <row r="44" spans="1:7" ht="12.75" customHeight="1" x14ac:dyDescent="0.2">
      <c r="A44" s="44" t="s">
        <v>15</v>
      </c>
      <c r="B44" s="46" t="s">
        <v>74</v>
      </c>
      <c r="C44" s="46"/>
      <c r="D44" s="46"/>
      <c r="E44" s="46" t="s">
        <v>73</v>
      </c>
      <c r="F44" s="46"/>
      <c r="G44" s="45"/>
    </row>
    <row r="45" spans="1:7" ht="38.25" customHeight="1" x14ac:dyDescent="0.2">
      <c r="A45" s="44" t="s">
        <v>15</v>
      </c>
      <c r="B45" s="46" t="s">
        <v>72</v>
      </c>
      <c r="C45" s="46"/>
      <c r="D45" s="46"/>
      <c r="E45" s="46" t="s">
        <v>71</v>
      </c>
      <c r="F45" s="46"/>
      <c r="G45" s="45"/>
    </row>
    <row r="46" spans="1:7" ht="15.75" customHeight="1" x14ac:dyDescent="0.2">
      <c r="A46" s="44" t="s">
        <v>15</v>
      </c>
      <c r="B46" s="43" t="s">
        <v>70</v>
      </c>
      <c r="C46" s="43"/>
      <c r="D46" s="43"/>
      <c r="E46" s="43"/>
      <c r="F46" s="43" t="s">
        <v>69</v>
      </c>
      <c r="G46" s="42"/>
    </row>
    <row r="47" spans="1:7" ht="12.75" customHeight="1" x14ac:dyDescent="0.2">
      <c r="A47" s="39" t="s">
        <v>15</v>
      </c>
      <c r="B47" s="41" t="s">
        <v>68</v>
      </c>
      <c r="C47" s="41"/>
      <c r="D47" s="41"/>
      <c r="E47" s="41" t="s">
        <v>108</v>
      </c>
      <c r="F47" s="41"/>
      <c r="G47" s="40"/>
    </row>
    <row r="48" spans="1:7" ht="280.5" customHeight="1" x14ac:dyDescent="0.2">
      <c r="A48" s="53" t="s">
        <v>107</v>
      </c>
      <c r="B48" s="52" t="s">
        <v>80</v>
      </c>
      <c r="C48" s="51" t="s">
        <v>79</v>
      </c>
      <c r="D48" s="51">
        <v>2</v>
      </c>
      <c r="E48" s="51" t="s">
        <v>106</v>
      </c>
      <c r="F48" s="51" t="s">
        <v>105</v>
      </c>
      <c r="G48" s="50">
        <f>ROUND(921  * 2 * 1 * 0.2,0)</f>
        <v>368</v>
      </c>
    </row>
    <row r="49" spans="1:7" ht="15.75" customHeight="1" x14ac:dyDescent="0.2">
      <c r="A49" s="49" t="s">
        <v>15</v>
      </c>
      <c r="B49" s="48" t="s">
        <v>76</v>
      </c>
      <c r="C49" s="48"/>
      <c r="D49" s="48"/>
      <c r="E49" s="48"/>
      <c r="F49" s="48"/>
      <c r="G49" s="47"/>
    </row>
    <row r="50" spans="1:7" ht="12.75" customHeight="1" x14ac:dyDescent="0.2">
      <c r="A50" s="44" t="s">
        <v>15</v>
      </c>
      <c r="B50" s="46" t="s">
        <v>75</v>
      </c>
      <c r="C50" s="46"/>
      <c r="D50" s="46"/>
      <c r="E50" s="46"/>
      <c r="F50" s="46"/>
      <c r="G50" s="45"/>
    </row>
    <row r="51" spans="1:7" ht="12.75" customHeight="1" x14ac:dyDescent="0.2">
      <c r="A51" s="44" t="s">
        <v>15</v>
      </c>
      <c r="B51" s="46" t="s">
        <v>74</v>
      </c>
      <c r="C51" s="46"/>
      <c r="D51" s="46"/>
      <c r="E51" s="46" t="s">
        <v>73</v>
      </c>
      <c r="F51" s="46"/>
      <c r="G51" s="45"/>
    </row>
    <row r="52" spans="1:7" ht="38.25" customHeight="1" x14ac:dyDescent="0.2">
      <c r="A52" s="44" t="s">
        <v>15</v>
      </c>
      <c r="B52" s="46" t="s">
        <v>72</v>
      </c>
      <c r="C52" s="46"/>
      <c r="D52" s="46"/>
      <c r="E52" s="46" t="s">
        <v>71</v>
      </c>
      <c r="F52" s="46"/>
      <c r="G52" s="45"/>
    </row>
    <row r="53" spans="1:7" ht="15.75" customHeight="1" x14ac:dyDescent="0.2">
      <c r="A53" s="44" t="s">
        <v>15</v>
      </c>
      <c r="B53" s="43" t="s">
        <v>70</v>
      </c>
      <c r="C53" s="43"/>
      <c r="D53" s="43"/>
      <c r="E53" s="43"/>
      <c r="F53" s="43" t="s">
        <v>69</v>
      </c>
      <c r="G53" s="42"/>
    </row>
    <row r="54" spans="1:7" ht="12.75" customHeight="1" x14ac:dyDescent="0.2">
      <c r="A54" s="39" t="s">
        <v>15</v>
      </c>
      <c r="B54" s="41" t="s">
        <v>68</v>
      </c>
      <c r="C54" s="41"/>
      <c r="D54" s="41"/>
      <c r="E54" s="41" t="s">
        <v>104</v>
      </c>
      <c r="F54" s="41"/>
      <c r="G54" s="40"/>
    </row>
    <row r="55" spans="1:7" ht="12.75" customHeight="1" x14ac:dyDescent="0.2">
      <c r="A55" s="39" t="s">
        <v>103</v>
      </c>
      <c r="B55" s="38" t="s">
        <v>102</v>
      </c>
      <c r="C55" s="38"/>
      <c r="D55" s="38"/>
      <c r="E55" s="38"/>
      <c r="F55" s="38"/>
      <c r="G55" s="37">
        <f>ROUND((SUM($G$19:$G$48)),0)</f>
        <v>153362</v>
      </c>
    </row>
    <row r="56" spans="1:7" ht="12.75" customHeight="1" x14ac:dyDescent="0.2">
      <c r="A56" s="31" t="s">
        <v>101</v>
      </c>
      <c r="B56" s="30" t="s">
        <v>100</v>
      </c>
      <c r="C56" s="30"/>
      <c r="D56" s="30"/>
      <c r="E56" s="30"/>
      <c r="F56" s="30"/>
      <c r="G56" s="35">
        <f>ROUND(($G$55),0)</f>
        <v>153362</v>
      </c>
    </row>
    <row r="57" spans="1:7" ht="12.75" customHeight="1" x14ac:dyDescent="0.2">
      <c r="A57" s="31" t="s">
        <v>19</v>
      </c>
      <c r="B57" s="30" t="s">
        <v>62</v>
      </c>
      <c r="C57" s="30"/>
      <c r="D57" s="30"/>
      <c r="E57" s="30" t="s">
        <v>99</v>
      </c>
      <c r="F57" s="30"/>
      <c r="G57" s="36"/>
    </row>
    <row r="58" spans="1:7" ht="153" customHeight="1" x14ac:dyDescent="0.2">
      <c r="A58" s="57" t="s">
        <v>98</v>
      </c>
      <c r="B58" s="56" t="s">
        <v>97</v>
      </c>
      <c r="C58" s="55" t="s">
        <v>91</v>
      </c>
      <c r="D58" s="55">
        <v>30</v>
      </c>
      <c r="E58" s="55" t="s">
        <v>96</v>
      </c>
      <c r="F58" s="55" t="s">
        <v>95</v>
      </c>
      <c r="G58" s="54">
        <f>ROUND(1167  * 30 * 1 * 0.2,0)</f>
        <v>7002</v>
      </c>
    </row>
    <row r="59" spans="1:7" ht="15.75" customHeight="1" x14ac:dyDescent="0.2">
      <c r="A59" s="49" t="s">
        <v>15</v>
      </c>
      <c r="B59" s="48" t="s">
        <v>76</v>
      </c>
      <c r="C59" s="48"/>
      <c r="D59" s="48"/>
      <c r="E59" s="48"/>
      <c r="F59" s="48"/>
      <c r="G59" s="47"/>
    </row>
    <row r="60" spans="1:7" ht="12.75" customHeight="1" x14ac:dyDescent="0.2">
      <c r="A60" s="44" t="s">
        <v>15</v>
      </c>
      <c r="B60" s="46" t="s">
        <v>75</v>
      </c>
      <c r="C60" s="46"/>
      <c r="D60" s="46"/>
      <c r="E60" s="46"/>
      <c r="F60" s="46"/>
      <c r="G60" s="45"/>
    </row>
    <row r="61" spans="1:7" ht="12.75" customHeight="1" x14ac:dyDescent="0.2">
      <c r="A61" s="44" t="s">
        <v>15</v>
      </c>
      <c r="B61" s="46" t="s">
        <v>74</v>
      </c>
      <c r="C61" s="46"/>
      <c r="D61" s="46"/>
      <c r="E61" s="46" t="s">
        <v>73</v>
      </c>
      <c r="F61" s="46"/>
      <c r="G61" s="45"/>
    </row>
    <row r="62" spans="1:7" ht="38.25" customHeight="1" x14ac:dyDescent="0.2">
      <c r="A62" s="44" t="s">
        <v>15</v>
      </c>
      <c r="B62" s="46" t="s">
        <v>72</v>
      </c>
      <c r="C62" s="46"/>
      <c r="D62" s="46"/>
      <c r="E62" s="46" t="s">
        <v>71</v>
      </c>
      <c r="F62" s="46"/>
      <c r="G62" s="45"/>
    </row>
    <row r="63" spans="1:7" ht="15.75" customHeight="1" x14ac:dyDescent="0.2">
      <c r="A63" s="44" t="s">
        <v>15</v>
      </c>
      <c r="B63" s="43" t="s">
        <v>70</v>
      </c>
      <c r="C63" s="43"/>
      <c r="D63" s="43"/>
      <c r="E63" s="43"/>
      <c r="F63" s="43" t="s">
        <v>69</v>
      </c>
      <c r="G63" s="42"/>
    </row>
    <row r="64" spans="1:7" ht="12.75" customHeight="1" x14ac:dyDescent="0.2">
      <c r="A64" s="39" t="s">
        <v>15</v>
      </c>
      <c r="B64" s="41" t="s">
        <v>68</v>
      </c>
      <c r="C64" s="41"/>
      <c r="D64" s="41"/>
      <c r="E64" s="41" t="s">
        <v>94</v>
      </c>
      <c r="F64" s="41"/>
      <c r="G64" s="40"/>
    </row>
    <row r="65" spans="1:7" ht="178.5" customHeight="1" x14ac:dyDescent="0.2">
      <c r="A65" s="53" t="s">
        <v>93</v>
      </c>
      <c r="B65" s="52" t="s">
        <v>92</v>
      </c>
      <c r="C65" s="51" t="s">
        <v>91</v>
      </c>
      <c r="D65" s="51">
        <v>30</v>
      </c>
      <c r="E65" s="51" t="s">
        <v>90</v>
      </c>
      <c r="F65" s="51" t="s">
        <v>89</v>
      </c>
      <c r="G65" s="50">
        <f>ROUND(46  * 30 * 1 * 0.2,0)</f>
        <v>276</v>
      </c>
    </row>
    <row r="66" spans="1:7" ht="15.75" customHeight="1" x14ac:dyDescent="0.2">
      <c r="A66" s="49" t="s">
        <v>15</v>
      </c>
      <c r="B66" s="48" t="s">
        <v>76</v>
      </c>
      <c r="C66" s="48"/>
      <c r="D66" s="48"/>
      <c r="E66" s="48"/>
      <c r="F66" s="48"/>
      <c r="G66" s="47"/>
    </row>
    <row r="67" spans="1:7" ht="12.75" customHeight="1" x14ac:dyDescent="0.2">
      <c r="A67" s="44" t="s">
        <v>15</v>
      </c>
      <c r="B67" s="46" t="s">
        <v>75</v>
      </c>
      <c r="C67" s="46"/>
      <c r="D67" s="46"/>
      <c r="E67" s="46"/>
      <c r="F67" s="46"/>
      <c r="G67" s="45"/>
    </row>
    <row r="68" spans="1:7" ht="12.75" customHeight="1" x14ac:dyDescent="0.2">
      <c r="A68" s="44" t="s">
        <v>15</v>
      </c>
      <c r="B68" s="46" t="s">
        <v>74</v>
      </c>
      <c r="C68" s="46"/>
      <c r="D68" s="46"/>
      <c r="E68" s="46" t="s">
        <v>73</v>
      </c>
      <c r="F68" s="46"/>
      <c r="G68" s="45"/>
    </row>
    <row r="69" spans="1:7" ht="38.25" customHeight="1" x14ac:dyDescent="0.2">
      <c r="A69" s="44" t="s">
        <v>15</v>
      </c>
      <c r="B69" s="46" t="s">
        <v>72</v>
      </c>
      <c r="C69" s="46"/>
      <c r="D69" s="46"/>
      <c r="E69" s="46" t="s">
        <v>71</v>
      </c>
      <c r="F69" s="46"/>
      <c r="G69" s="45"/>
    </row>
    <row r="70" spans="1:7" ht="15.75" customHeight="1" x14ac:dyDescent="0.2">
      <c r="A70" s="44" t="s">
        <v>15</v>
      </c>
      <c r="B70" s="43" t="s">
        <v>70</v>
      </c>
      <c r="C70" s="43"/>
      <c r="D70" s="43"/>
      <c r="E70" s="43"/>
      <c r="F70" s="43" t="s">
        <v>69</v>
      </c>
      <c r="G70" s="42"/>
    </row>
    <row r="71" spans="1:7" ht="12.75" customHeight="1" x14ac:dyDescent="0.2">
      <c r="A71" s="39" t="s">
        <v>15</v>
      </c>
      <c r="B71" s="41" t="s">
        <v>68</v>
      </c>
      <c r="C71" s="41"/>
      <c r="D71" s="41"/>
      <c r="E71" s="41" t="s">
        <v>88</v>
      </c>
      <c r="F71" s="41"/>
      <c r="G71" s="40"/>
    </row>
    <row r="72" spans="1:7" ht="140.25" customHeight="1" x14ac:dyDescent="0.2">
      <c r="A72" s="53" t="s">
        <v>87</v>
      </c>
      <c r="B72" s="52" t="s">
        <v>86</v>
      </c>
      <c r="C72" s="51" t="s">
        <v>85</v>
      </c>
      <c r="D72" s="51">
        <v>1</v>
      </c>
      <c r="E72" s="51" t="s">
        <v>84</v>
      </c>
      <c r="F72" s="51" t="s">
        <v>83</v>
      </c>
      <c r="G72" s="50">
        <f>ROUND(3000  * 1 * 0.2,0)</f>
        <v>600</v>
      </c>
    </row>
    <row r="73" spans="1:7" ht="15.75" customHeight="1" x14ac:dyDescent="0.2">
      <c r="A73" s="49" t="s">
        <v>15</v>
      </c>
      <c r="B73" s="48" t="s">
        <v>76</v>
      </c>
      <c r="C73" s="48"/>
      <c r="D73" s="48"/>
      <c r="E73" s="48"/>
      <c r="F73" s="48"/>
      <c r="G73" s="47"/>
    </row>
    <row r="74" spans="1:7" ht="12.75" customHeight="1" x14ac:dyDescent="0.2">
      <c r="A74" s="44" t="s">
        <v>15</v>
      </c>
      <c r="B74" s="46" t="s">
        <v>75</v>
      </c>
      <c r="C74" s="46"/>
      <c r="D74" s="46"/>
      <c r="E74" s="46"/>
      <c r="F74" s="46"/>
      <c r="G74" s="45"/>
    </row>
    <row r="75" spans="1:7" ht="12.75" customHeight="1" x14ac:dyDescent="0.2">
      <c r="A75" s="44" t="s">
        <v>15</v>
      </c>
      <c r="B75" s="46" t="s">
        <v>74</v>
      </c>
      <c r="C75" s="46"/>
      <c r="D75" s="46"/>
      <c r="E75" s="46" t="s">
        <v>82</v>
      </c>
      <c r="F75" s="46"/>
      <c r="G75" s="45"/>
    </row>
    <row r="76" spans="1:7" ht="38.25" customHeight="1" x14ac:dyDescent="0.2">
      <c r="A76" s="44" t="s">
        <v>15</v>
      </c>
      <c r="B76" s="46" t="s">
        <v>72</v>
      </c>
      <c r="C76" s="46"/>
      <c r="D76" s="46"/>
      <c r="E76" s="46" t="s">
        <v>71</v>
      </c>
      <c r="F76" s="46"/>
      <c r="G76" s="45"/>
    </row>
    <row r="77" spans="1:7" ht="12.75" customHeight="1" x14ac:dyDescent="0.2">
      <c r="A77" s="39" t="s">
        <v>15</v>
      </c>
      <c r="B77" s="41"/>
      <c r="C77" s="41"/>
      <c r="D77" s="41"/>
      <c r="E77" s="41"/>
      <c r="F77" s="41"/>
      <c r="G77" s="40"/>
    </row>
    <row r="78" spans="1:7" ht="280.5" customHeight="1" x14ac:dyDescent="0.2">
      <c r="A78" s="53" t="s">
        <v>81</v>
      </c>
      <c r="B78" s="52" t="s">
        <v>80</v>
      </c>
      <c r="C78" s="51" t="s">
        <v>79</v>
      </c>
      <c r="D78" s="51">
        <v>2</v>
      </c>
      <c r="E78" s="51" t="s">
        <v>78</v>
      </c>
      <c r="F78" s="51" t="s">
        <v>77</v>
      </c>
      <c r="G78" s="50">
        <f>ROUND(44  * 2 * 1 * 0.2,0)</f>
        <v>18</v>
      </c>
    </row>
    <row r="79" spans="1:7" ht="15.75" customHeight="1" x14ac:dyDescent="0.2">
      <c r="A79" s="49" t="s">
        <v>15</v>
      </c>
      <c r="B79" s="48" t="s">
        <v>76</v>
      </c>
      <c r="C79" s="48"/>
      <c r="D79" s="48"/>
      <c r="E79" s="48"/>
      <c r="F79" s="48"/>
      <c r="G79" s="47"/>
    </row>
    <row r="80" spans="1:7" ht="12.75" customHeight="1" x14ac:dyDescent="0.2">
      <c r="A80" s="44" t="s">
        <v>15</v>
      </c>
      <c r="B80" s="46" t="s">
        <v>75</v>
      </c>
      <c r="C80" s="46"/>
      <c r="D80" s="46"/>
      <c r="E80" s="46"/>
      <c r="F80" s="46"/>
      <c r="G80" s="45"/>
    </row>
    <row r="81" spans="1:7" ht="12.75" customHeight="1" x14ac:dyDescent="0.2">
      <c r="A81" s="44" t="s">
        <v>15</v>
      </c>
      <c r="B81" s="46" t="s">
        <v>74</v>
      </c>
      <c r="C81" s="46"/>
      <c r="D81" s="46"/>
      <c r="E81" s="46" t="s">
        <v>73</v>
      </c>
      <c r="F81" s="46"/>
      <c r="G81" s="45"/>
    </row>
    <row r="82" spans="1:7" ht="38.25" customHeight="1" x14ac:dyDescent="0.2">
      <c r="A82" s="44" t="s">
        <v>15</v>
      </c>
      <c r="B82" s="46" t="s">
        <v>72</v>
      </c>
      <c r="C82" s="46"/>
      <c r="D82" s="46"/>
      <c r="E82" s="46" t="s">
        <v>71</v>
      </c>
      <c r="F82" s="46"/>
      <c r="G82" s="45"/>
    </row>
    <row r="83" spans="1:7" ht="15.75" customHeight="1" x14ac:dyDescent="0.2">
      <c r="A83" s="44" t="s">
        <v>15</v>
      </c>
      <c r="B83" s="43" t="s">
        <v>70</v>
      </c>
      <c r="C83" s="43"/>
      <c r="D83" s="43"/>
      <c r="E83" s="43"/>
      <c r="F83" s="43" t="s">
        <v>69</v>
      </c>
      <c r="G83" s="42"/>
    </row>
    <row r="84" spans="1:7" ht="12.75" customHeight="1" x14ac:dyDescent="0.2">
      <c r="A84" s="39" t="s">
        <v>15</v>
      </c>
      <c r="B84" s="41" t="s">
        <v>68</v>
      </c>
      <c r="C84" s="41"/>
      <c r="D84" s="41"/>
      <c r="E84" s="41" t="s">
        <v>67</v>
      </c>
      <c r="F84" s="41"/>
      <c r="G84" s="40"/>
    </row>
    <row r="85" spans="1:7" ht="25.5" customHeight="1" x14ac:dyDescent="0.2">
      <c r="A85" s="39" t="s">
        <v>66</v>
      </c>
      <c r="B85" s="38" t="s">
        <v>65</v>
      </c>
      <c r="C85" s="38"/>
      <c r="D85" s="38"/>
      <c r="E85" s="38"/>
      <c r="F85" s="38"/>
      <c r="G85" s="37">
        <f>ROUND((SUM($G$58:$G$78)),0)</f>
        <v>7896</v>
      </c>
    </row>
    <row r="86" spans="1:7" ht="25.5" customHeight="1" x14ac:dyDescent="0.2">
      <c r="A86" s="31" t="s">
        <v>64</v>
      </c>
      <c r="B86" s="30" t="s">
        <v>63</v>
      </c>
      <c r="C86" s="30"/>
      <c r="D86" s="30"/>
      <c r="E86" s="30"/>
      <c r="F86" s="30"/>
      <c r="G86" s="35">
        <f>ROUND(($G$85),0)</f>
        <v>7896</v>
      </c>
    </row>
    <row r="87" spans="1:7" ht="12.75" customHeight="1" x14ac:dyDescent="0.2">
      <c r="A87" s="31" t="s">
        <v>21</v>
      </c>
      <c r="B87" s="30" t="s">
        <v>62</v>
      </c>
      <c r="C87" s="30"/>
      <c r="D87" s="30"/>
      <c r="E87" s="30" t="s">
        <v>61</v>
      </c>
      <c r="F87" s="30"/>
      <c r="G87" s="36"/>
    </row>
    <row r="88" spans="1:7" ht="76.5" customHeight="1" x14ac:dyDescent="0.2">
      <c r="A88" s="31" t="s">
        <v>60</v>
      </c>
      <c r="B88" s="33" t="s">
        <v>59</v>
      </c>
      <c r="C88" s="33"/>
      <c r="D88" s="33"/>
      <c r="E88" s="33" t="s">
        <v>58</v>
      </c>
      <c r="F88" s="33" t="s">
        <v>57</v>
      </c>
      <c r="G88" s="34">
        <f>ROUND(153362 * 6.25 / 100 * 1,0)</f>
        <v>9585</v>
      </c>
    </row>
    <row r="89" spans="1:7" ht="76.5" customHeight="1" x14ac:dyDescent="0.2">
      <c r="A89" s="31" t="s">
        <v>56</v>
      </c>
      <c r="B89" s="33" t="s">
        <v>55</v>
      </c>
      <c r="C89" s="33"/>
      <c r="D89" s="33"/>
      <c r="E89" s="33" t="s">
        <v>54</v>
      </c>
      <c r="F89" s="33" t="s">
        <v>53</v>
      </c>
      <c r="G89" s="34">
        <f>ROUND(162947 * 4.5 / 100 * 1,0)</f>
        <v>7333</v>
      </c>
    </row>
    <row r="90" spans="1:7" ht="38.25" customHeight="1" x14ac:dyDescent="0.2">
      <c r="A90" s="31" t="s">
        <v>52</v>
      </c>
      <c r="B90" s="33" t="s">
        <v>51</v>
      </c>
      <c r="C90" s="33"/>
      <c r="D90" s="33"/>
      <c r="E90" s="33" t="s">
        <v>50</v>
      </c>
      <c r="F90" s="33" t="s">
        <v>49</v>
      </c>
      <c r="G90" s="34">
        <f>ROUND(162947 * 1 * 1 * 6 / 100 * 1,0)</f>
        <v>9777</v>
      </c>
    </row>
    <row r="91" spans="1:7" ht="12.75" customHeight="1" x14ac:dyDescent="0.2">
      <c r="A91" s="31" t="s">
        <v>48</v>
      </c>
      <c r="B91" s="30" t="s">
        <v>47</v>
      </c>
      <c r="C91" s="30"/>
      <c r="D91" s="30"/>
      <c r="E91" s="30"/>
      <c r="F91" s="30"/>
      <c r="G91" s="35">
        <f>ROUND((SUM($G$88:$G$90)),0)</f>
        <v>26695</v>
      </c>
    </row>
    <row r="92" spans="1:7" ht="12.75" customHeight="1" x14ac:dyDescent="0.2">
      <c r="A92" s="31" t="s">
        <v>23</v>
      </c>
      <c r="B92" s="30" t="s">
        <v>46</v>
      </c>
      <c r="C92" s="30"/>
      <c r="D92" s="30"/>
      <c r="E92" s="30"/>
      <c r="F92" s="30"/>
      <c r="G92" s="35">
        <f>ROUND(($G$56 + $G$86 + $G$91),0)</f>
        <v>187953</v>
      </c>
    </row>
    <row r="93" spans="1:7" ht="51" customHeight="1" x14ac:dyDescent="0.2">
      <c r="A93" s="31" t="s">
        <v>25</v>
      </c>
      <c r="B93" s="33" t="s">
        <v>45</v>
      </c>
      <c r="C93" s="33"/>
      <c r="D93" s="33"/>
      <c r="E93" s="33" t="s">
        <v>44</v>
      </c>
      <c r="F93" s="33" t="s">
        <v>43</v>
      </c>
      <c r="G93" s="34">
        <f>ROUND(($G$92) * 5.46 * 1,0)</f>
        <v>1026223</v>
      </c>
    </row>
    <row r="94" spans="1:7" ht="76.5" customHeight="1" x14ac:dyDescent="0.2">
      <c r="A94" s="31" t="s">
        <v>42</v>
      </c>
      <c r="B94" s="33" t="s">
        <v>41</v>
      </c>
      <c r="C94" s="33"/>
      <c r="D94" s="33"/>
      <c r="E94" s="33" t="s">
        <v>40</v>
      </c>
      <c r="F94" s="33" t="s">
        <v>39</v>
      </c>
      <c r="G94" s="34">
        <f>ROUND(($G$93) * 1.075 * 1,0)</f>
        <v>1103190</v>
      </c>
    </row>
    <row r="95" spans="1:7" ht="12.75" customHeight="1" x14ac:dyDescent="0.2">
      <c r="A95" s="31" t="s">
        <v>38</v>
      </c>
      <c r="B95" s="33" t="s">
        <v>37</v>
      </c>
      <c r="C95" s="33"/>
      <c r="D95" s="33"/>
      <c r="E95" s="33"/>
      <c r="F95" s="33" t="s">
        <v>36</v>
      </c>
      <c r="G95" s="34">
        <f>ROUND(($G$94),0)</f>
        <v>1103190</v>
      </c>
    </row>
    <row r="96" spans="1:7" ht="12.75" customHeight="1" x14ac:dyDescent="0.2">
      <c r="A96" s="31" t="s">
        <v>35</v>
      </c>
      <c r="B96" s="33" t="s">
        <v>34</v>
      </c>
      <c r="C96" s="33"/>
      <c r="D96" s="33"/>
      <c r="E96" s="33"/>
      <c r="F96" s="33" t="s">
        <v>33</v>
      </c>
      <c r="G96" s="32">
        <f>ROUND(($G$95) * 20 / 100 * 1,2)</f>
        <v>220638</v>
      </c>
    </row>
    <row r="97" spans="1:8" ht="12.75" customHeight="1" x14ac:dyDescent="0.2">
      <c r="A97" s="31" t="s">
        <v>32</v>
      </c>
      <c r="B97" s="30" t="s">
        <v>31</v>
      </c>
      <c r="C97" s="30"/>
      <c r="D97" s="30"/>
      <c r="E97" s="30"/>
      <c r="F97" s="30"/>
      <c r="G97" s="29">
        <f>ROUND((SUM($G$95:$G$96)),2)</f>
        <v>1323828</v>
      </c>
    </row>
    <row r="98" spans="1:8" ht="12.75" customHeight="1" x14ac:dyDescent="0.2"/>
    <row r="103" spans="1:8" x14ac:dyDescent="0.2">
      <c r="A103" s="97"/>
      <c r="B103" s="126"/>
      <c r="C103" s="126"/>
      <c r="D103" s="126"/>
      <c r="E103" s="3"/>
      <c r="F103" s="98"/>
      <c r="G103" s="4"/>
    </row>
    <row r="104" spans="1:8" ht="12.75" customHeight="1" x14ac:dyDescent="0.2">
      <c r="A104" s="119"/>
      <c r="B104" s="119"/>
      <c r="C104" s="119"/>
      <c r="D104" s="119"/>
      <c r="E104" s="100"/>
      <c r="F104" s="99"/>
      <c r="G104" s="101"/>
    </row>
    <row r="105" spans="1:8" x14ac:dyDescent="0.2">
      <c r="F105" s="102"/>
      <c r="G105" s="27"/>
    </row>
    <row r="106" spans="1:8" s="73" customFormat="1" x14ac:dyDescent="0.2">
      <c r="A106" s="28"/>
      <c r="B106" s="97"/>
      <c r="C106" s="126"/>
      <c r="D106" s="126"/>
      <c r="E106" s="28"/>
      <c r="F106" s="103"/>
      <c r="G106" s="103"/>
      <c r="H106" s="103"/>
    </row>
    <row r="107" spans="1:8" s="73" customFormat="1" ht="12.75" customHeight="1" x14ac:dyDescent="0.2">
      <c r="A107" s="28"/>
      <c r="B107" s="119"/>
      <c r="C107" s="119"/>
      <c r="D107" s="119"/>
      <c r="E107" s="104"/>
      <c r="F107" s="99"/>
      <c r="G107" s="101"/>
      <c r="H107" s="101"/>
    </row>
    <row r="108" spans="1:8" s="73" customFormat="1" x14ac:dyDescent="0.2">
      <c r="A108" s="28"/>
      <c r="B108"/>
      <c r="C108"/>
      <c r="D108"/>
      <c r="E108" s="28"/>
      <c r="F108" s="103"/>
      <c r="G108" s="103"/>
      <c r="H108" s="103"/>
    </row>
    <row r="109" spans="1:8" s="73" customFormat="1" ht="15.75" customHeight="1" x14ac:dyDescent="0.2">
      <c r="A109" s="28"/>
      <c r="B109" s="97"/>
      <c r="C109" s="126"/>
      <c r="D109" s="126"/>
      <c r="E109" s="28"/>
      <c r="F109" s="103"/>
      <c r="G109" s="103"/>
      <c r="H109" s="103"/>
    </row>
    <row r="110" spans="1:8" s="73" customFormat="1" ht="24.75" customHeight="1" x14ac:dyDescent="0.2">
      <c r="A110" s="28"/>
      <c r="B110" s="119"/>
      <c r="C110" s="119"/>
      <c r="D110" s="119"/>
      <c r="E110" s="104"/>
      <c r="F110" s="105"/>
      <c r="G110" s="62"/>
      <c r="H110" s="62"/>
    </row>
  </sheetData>
  <mergeCells count="26">
    <mergeCell ref="A104:D104"/>
    <mergeCell ref="C106:D106"/>
    <mergeCell ref="B107:D107"/>
    <mergeCell ref="C109:D109"/>
    <mergeCell ref="B110:D110"/>
    <mergeCell ref="A9:C9"/>
    <mergeCell ref="A13:C13"/>
    <mergeCell ref="D11:G12"/>
    <mergeCell ref="D13:G13"/>
    <mergeCell ref="B103:D103"/>
    <mergeCell ref="A1:B1"/>
    <mergeCell ref="A7:C7"/>
    <mergeCell ref="D7:G7"/>
    <mergeCell ref="A40:A41"/>
    <mergeCell ref="B40:B41"/>
    <mergeCell ref="C40:C41"/>
    <mergeCell ref="D40:D41"/>
    <mergeCell ref="E40:E41"/>
    <mergeCell ref="F40:F41"/>
    <mergeCell ref="G40:G41"/>
    <mergeCell ref="D9:G9"/>
    <mergeCell ref="A14:G14"/>
    <mergeCell ref="C1:G1"/>
    <mergeCell ref="B4:F4"/>
    <mergeCell ref="B5:F5"/>
    <mergeCell ref="A11:C11"/>
  </mergeCells>
  <pageMargins left="0.39374999999999999" right="0.39374999999999999" top="0.59027777777777779" bottom="0.82777777777777783" header="0.51180555555555562" footer="0.59027777777777779"/>
  <pageSetup paperSize="9" scale="99" orientation="portrait" useFirstPageNumber="1" horizontalDpi="300" verticalDpi="300" r:id="rId1"/>
  <headerFooter alignWithMargins="0"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H165"/>
  <sheetViews>
    <sheetView workbookViewId="0">
      <selection sqref="A1:G1"/>
    </sheetView>
  </sheetViews>
  <sheetFormatPr defaultColWidth="11.5703125" defaultRowHeight="12.75" x14ac:dyDescent="0.2"/>
  <cols>
    <col min="1" max="1" width="3.7109375" style="28" customWidth="1"/>
    <col min="2" max="2" width="26.7109375" style="28" customWidth="1"/>
    <col min="3" max="3" width="7.7109375" style="28" customWidth="1"/>
    <col min="4" max="4" width="5" style="28" customWidth="1"/>
    <col min="5" max="5" width="27.7109375" style="28" customWidth="1"/>
    <col min="6" max="6" width="14.42578125" style="28" customWidth="1"/>
    <col min="7" max="7" width="11.5703125" style="28" customWidth="1"/>
    <col min="8" max="16384" width="11.5703125" style="27"/>
  </cols>
  <sheetData>
    <row r="1" spans="1:7" ht="19.5" customHeight="1" x14ac:dyDescent="0.2">
      <c r="A1" s="133"/>
      <c r="B1" s="133"/>
      <c r="C1" s="143"/>
      <c r="D1" s="143"/>
      <c r="E1" s="143"/>
      <c r="F1" s="143"/>
      <c r="G1" s="143"/>
    </row>
    <row r="2" spans="1:7" s="69" customFormat="1" x14ac:dyDescent="0.2">
      <c r="A2" s="71"/>
      <c r="B2" s="71"/>
      <c r="C2" s="70"/>
      <c r="D2" s="70"/>
      <c r="E2" s="70"/>
      <c r="F2" s="70"/>
      <c r="G2" s="70"/>
    </row>
    <row r="3" spans="1:7" s="69" customFormat="1" x14ac:dyDescent="0.2">
      <c r="A3" s="71"/>
      <c r="B3" s="71"/>
      <c r="C3" s="70"/>
      <c r="D3" s="70"/>
      <c r="E3" s="70"/>
      <c r="F3" s="70"/>
      <c r="G3" s="70"/>
    </row>
    <row r="4" spans="1:7" x14ac:dyDescent="0.2">
      <c r="B4" s="144" t="s">
        <v>244</v>
      </c>
      <c r="C4" s="144"/>
      <c r="D4" s="144"/>
      <c r="E4" s="144"/>
      <c r="F4" s="144"/>
    </row>
    <row r="5" spans="1:7" x14ac:dyDescent="0.2">
      <c r="B5" s="145" t="s">
        <v>140</v>
      </c>
      <c r="C5" s="145"/>
      <c r="D5" s="145"/>
      <c r="E5" s="145"/>
      <c r="F5" s="145"/>
    </row>
    <row r="6" spans="1:7" x14ac:dyDescent="0.2">
      <c r="B6" s="68"/>
      <c r="C6" s="68"/>
      <c r="D6" s="68"/>
      <c r="E6" s="68"/>
      <c r="F6" s="68"/>
    </row>
    <row r="7" spans="1:7" ht="38.25" customHeight="1" x14ac:dyDescent="0.2">
      <c r="A7" s="134" t="s">
        <v>139</v>
      </c>
      <c r="B7" s="134"/>
      <c r="C7" s="134"/>
      <c r="D7" s="135" t="s">
        <v>11</v>
      </c>
      <c r="E7" s="135"/>
      <c r="F7" s="135"/>
      <c r="G7" s="135"/>
    </row>
    <row r="8" spans="1:7" x14ac:dyDescent="0.2">
      <c r="C8" s="67"/>
      <c r="D8" s="67"/>
      <c r="E8" s="67"/>
    </row>
    <row r="9" spans="1:7" ht="12.75" customHeight="1" x14ac:dyDescent="0.2">
      <c r="A9" s="146" t="s">
        <v>138</v>
      </c>
      <c r="B9" s="148"/>
      <c r="C9" s="148"/>
      <c r="D9" s="140" t="s">
        <v>20</v>
      </c>
      <c r="E9" s="140"/>
      <c r="F9" s="140"/>
      <c r="G9" s="140"/>
    </row>
    <row r="10" spans="1:7" x14ac:dyDescent="0.2">
      <c r="A10" s="66"/>
      <c r="B10" s="66"/>
      <c r="C10" s="63"/>
      <c r="D10" s="65"/>
      <c r="E10" s="65"/>
      <c r="F10" s="65"/>
      <c r="G10" s="65"/>
    </row>
    <row r="11" spans="1:7" x14ac:dyDescent="0.2">
      <c r="A11" s="146" t="s">
        <v>137</v>
      </c>
      <c r="B11" s="147"/>
      <c r="C11" s="147"/>
      <c r="D11" s="140"/>
      <c r="E11" s="140"/>
      <c r="F11" s="140"/>
      <c r="G11" s="140"/>
    </row>
    <row r="12" spans="1:7" x14ac:dyDescent="0.2">
      <c r="D12" s="140"/>
      <c r="E12" s="140"/>
      <c r="F12" s="140"/>
      <c r="G12" s="140"/>
    </row>
    <row r="13" spans="1:7" ht="13.5" customHeight="1" x14ac:dyDescent="0.2">
      <c r="A13" s="146" t="s">
        <v>136</v>
      </c>
      <c r="B13" s="146"/>
      <c r="C13" s="146"/>
      <c r="D13" s="140"/>
      <c r="E13" s="140"/>
      <c r="F13" s="140"/>
      <c r="G13" s="140"/>
    </row>
    <row r="14" spans="1:7" ht="12" customHeight="1" x14ac:dyDescent="0.2">
      <c r="A14" s="64"/>
      <c r="B14" s="63"/>
      <c r="C14" s="62"/>
      <c r="D14" s="140"/>
      <c r="E14" s="140"/>
      <c r="F14" s="140"/>
      <c r="G14" s="140"/>
    </row>
    <row r="15" spans="1:7" ht="42.75" hidden="1" customHeight="1" x14ac:dyDescent="0.2">
      <c r="A15" s="141"/>
      <c r="B15" s="142"/>
      <c r="C15" s="142"/>
      <c r="D15" s="142"/>
      <c r="E15" s="142"/>
      <c r="F15" s="142"/>
      <c r="G15" s="142"/>
    </row>
    <row r="17" spans="1:7" ht="32.25" customHeight="1" x14ac:dyDescent="0.2">
      <c r="A17" s="61" t="s">
        <v>135</v>
      </c>
      <c r="B17" s="60" t="s">
        <v>134</v>
      </c>
      <c r="C17" s="60" t="s">
        <v>133</v>
      </c>
      <c r="D17" s="60" t="s">
        <v>132</v>
      </c>
      <c r="E17" s="60" t="s">
        <v>131</v>
      </c>
      <c r="F17" s="60" t="s">
        <v>130</v>
      </c>
      <c r="G17" s="60" t="s">
        <v>129</v>
      </c>
    </row>
    <row r="18" spans="1:7" x14ac:dyDescent="0.2">
      <c r="A18" s="59">
        <v>1</v>
      </c>
      <c r="B18" s="58">
        <v>2</v>
      </c>
      <c r="C18" s="58">
        <v>3</v>
      </c>
      <c r="D18" s="58">
        <v>4</v>
      </c>
      <c r="E18" s="58">
        <v>5</v>
      </c>
      <c r="F18" s="58">
        <v>6</v>
      </c>
      <c r="G18" s="58">
        <v>7</v>
      </c>
    </row>
    <row r="19" spans="1:7" ht="12.75" customHeight="1" x14ac:dyDescent="0.2">
      <c r="A19" s="31" t="s">
        <v>17</v>
      </c>
      <c r="B19" s="30" t="s">
        <v>62</v>
      </c>
      <c r="C19" s="30"/>
      <c r="D19" s="30"/>
      <c r="E19" s="30" t="s">
        <v>128</v>
      </c>
      <c r="F19" s="30"/>
      <c r="G19" s="36"/>
    </row>
    <row r="20" spans="1:7" ht="204" customHeight="1" x14ac:dyDescent="0.2">
      <c r="A20" s="57" t="s">
        <v>127</v>
      </c>
      <c r="B20" s="56" t="s">
        <v>194</v>
      </c>
      <c r="C20" s="55" t="s">
        <v>193</v>
      </c>
      <c r="D20" s="55">
        <v>6</v>
      </c>
      <c r="E20" s="55" t="s">
        <v>243</v>
      </c>
      <c r="F20" s="55" t="s">
        <v>242</v>
      </c>
      <c r="G20" s="54">
        <f>ROUND(36  * 6 * 1 * 0.5,0)</f>
        <v>108</v>
      </c>
    </row>
    <row r="21" spans="1:7" ht="15.75" customHeight="1" x14ac:dyDescent="0.2">
      <c r="A21" s="49" t="s">
        <v>15</v>
      </c>
      <c r="B21" s="48" t="s">
        <v>76</v>
      </c>
      <c r="C21" s="48"/>
      <c r="D21" s="48"/>
      <c r="E21" s="48"/>
      <c r="F21" s="48"/>
      <c r="G21" s="47"/>
    </row>
    <row r="22" spans="1:7" ht="12.75" customHeight="1" x14ac:dyDescent="0.2">
      <c r="A22" s="44" t="s">
        <v>15</v>
      </c>
      <c r="B22" s="46" t="s">
        <v>75</v>
      </c>
      <c r="C22" s="46"/>
      <c r="D22" s="46"/>
      <c r="E22" s="46"/>
      <c r="F22" s="46"/>
      <c r="G22" s="45"/>
    </row>
    <row r="23" spans="1:7" ht="12.75" customHeight="1" x14ac:dyDescent="0.2">
      <c r="A23" s="44" t="s">
        <v>15</v>
      </c>
      <c r="B23" s="46" t="s">
        <v>74</v>
      </c>
      <c r="C23" s="46"/>
      <c r="D23" s="46"/>
      <c r="E23" s="46" t="s">
        <v>73</v>
      </c>
      <c r="F23" s="46"/>
      <c r="G23" s="45"/>
    </row>
    <row r="24" spans="1:7" ht="38.25" customHeight="1" x14ac:dyDescent="0.2">
      <c r="A24" s="44" t="s">
        <v>15</v>
      </c>
      <c r="B24" s="46" t="s">
        <v>72</v>
      </c>
      <c r="C24" s="46"/>
      <c r="D24" s="46"/>
      <c r="E24" s="46" t="s">
        <v>165</v>
      </c>
      <c r="F24" s="46"/>
      <c r="G24" s="45"/>
    </row>
    <row r="25" spans="1:7" ht="15.75" customHeight="1" x14ac:dyDescent="0.2">
      <c r="A25" s="44" t="s">
        <v>15</v>
      </c>
      <c r="B25" s="43" t="s">
        <v>70</v>
      </c>
      <c r="C25" s="43"/>
      <c r="D25" s="43"/>
      <c r="E25" s="43"/>
      <c r="F25" s="43" t="s">
        <v>69</v>
      </c>
      <c r="G25" s="42"/>
    </row>
    <row r="26" spans="1:7" ht="12.75" customHeight="1" x14ac:dyDescent="0.2">
      <c r="A26" s="39" t="s">
        <v>15</v>
      </c>
      <c r="B26" s="41" t="s">
        <v>68</v>
      </c>
      <c r="C26" s="41"/>
      <c r="D26" s="41"/>
      <c r="E26" s="41" t="s">
        <v>241</v>
      </c>
      <c r="F26" s="41"/>
      <c r="G26" s="40"/>
    </row>
    <row r="27" spans="1:7" ht="153" customHeight="1" x14ac:dyDescent="0.2">
      <c r="A27" s="53" t="s">
        <v>122</v>
      </c>
      <c r="B27" s="52" t="s">
        <v>240</v>
      </c>
      <c r="C27" s="51" t="s">
        <v>239</v>
      </c>
      <c r="D27" s="51">
        <v>2</v>
      </c>
      <c r="E27" s="51" t="s">
        <v>238</v>
      </c>
      <c r="F27" s="51" t="s">
        <v>237</v>
      </c>
      <c r="G27" s="50">
        <f>ROUND(13.6  * 2 * 1 * 0.5 * 0.5,0)</f>
        <v>7</v>
      </c>
    </row>
    <row r="28" spans="1:7" ht="15.75" customHeight="1" x14ac:dyDescent="0.2">
      <c r="A28" s="49" t="s">
        <v>15</v>
      </c>
      <c r="B28" s="48" t="s">
        <v>76</v>
      </c>
      <c r="C28" s="48"/>
      <c r="D28" s="48"/>
      <c r="E28" s="48"/>
      <c r="F28" s="48"/>
      <c r="G28" s="47"/>
    </row>
    <row r="29" spans="1:7" ht="12.75" customHeight="1" x14ac:dyDescent="0.2">
      <c r="A29" s="44" t="s">
        <v>15</v>
      </c>
      <c r="B29" s="46" t="s">
        <v>75</v>
      </c>
      <c r="C29" s="46"/>
      <c r="D29" s="46"/>
      <c r="E29" s="46"/>
      <c r="F29" s="46"/>
      <c r="G29" s="45"/>
    </row>
    <row r="30" spans="1:7" ht="12.75" customHeight="1" x14ac:dyDescent="0.2">
      <c r="A30" s="44" t="s">
        <v>15</v>
      </c>
      <c r="B30" s="46" t="s">
        <v>74</v>
      </c>
      <c r="C30" s="46"/>
      <c r="D30" s="46"/>
      <c r="E30" s="46" t="s">
        <v>73</v>
      </c>
      <c r="F30" s="46"/>
      <c r="G30" s="45"/>
    </row>
    <row r="31" spans="1:7" ht="38.25" customHeight="1" x14ac:dyDescent="0.2">
      <c r="A31" s="44" t="s">
        <v>15</v>
      </c>
      <c r="B31" s="46" t="s">
        <v>72</v>
      </c>
      <c r="C31" s="46"/>
      <c r="D31" s="46"/>
      <c r="E31" s="46" t="s">
        <v>165</v>
      </c>
      <c r="F31" s="46"/>
      <c r="G31" s="45"/>
    </row>
    <row r="32" spans="1:7" ht="63.75" customHeight="1" x14ac:dyDescent="0.2">
      <c r="A32" s="44" t="s">
        <v>15</v>
      </c>
      <c r="B32" s="46" t="s">
        <v>236</v>
      </c>
      <c r="C32" s="46"/>
      <c r="D32" s="46"/>
      <c r="E32" s="46" t="s">
        <v>235</v>
      </c>
      <c r="F32" s="46"/>
      <c r="G32" s="45"/>
    </row>
    <row r="33" spans="1:7" ht="15.75" customHeight="1" x14ac:dyDescent="0.2">
      <c r="A33" s="44" t="s">
        <v>15</v>
      </c>
      <c r="B33" s="43" t="s">
        <v>70</v>
      </c>
      <c r="C33" s="43"/>
      <c r="D33" s="43"/>
      <c r="E33" s="43"/>
      <c r="F33" s="43" t="s">
        <v>69</v>
      </c>
      <c r="G33" s="42"/>
    </row>
    <row r="34" spans="1:7" ht="12.75" customHeight="1" x14ac:dyDescent="0.2">
      <c r="A34" s="39" t="s">
        <v>15</v>
      </c>
      <c r="B34" s="41" t="s">
        <v>68</v>
      </c>
      <c r="C34" s="41"/>
      <c r="D34" s="41"/>
      <c r="E34" s="41" t="s">
        <v>234</v>
      </c>
      <c r="F34" s="41"/>
      <c r="G34" s="40"/>
    </row>
    <row r="35" spans="1:7" ht="165.75" customHeight="1" x14ac:dyDescent="0.2">
      <c r="A35" s="53" t="s">
        <v>118</v>
      </c>
      <c r="B35" s="52" t="s">
        <v>233</v>
      </c>
      <c r="C35" s="51" t="s">
        <v>228</v>
      </c>
      <c r="D35" s="51">
        <v>6</v>
      </c>
      <c r="E35" s="51" t="s">
        <v>232</v>
      </c>
      <c r="F35" s="51" t="s">
        <v>231</v>
      </c>
      <c r="G35" s="50">
        <f>ROUND(22.9  * 6 * 1 * 0.5,0)</f>
        <v>69</v>
      </c>
    </row>
    <row r="36" spans="1:7" ht="15.75" customHeight="1" x14ac:dyDescent="0.2">
      <c r="A36" s="49" t="s">
        <v>15</v>
      </c>
      <c r="B36" s="48" t="s">
        <v>76</v>
      </c>
      <c r="C36" s="48"/>
      <c r="D36" s="48"/>
      <c r="E36" s="48"/>
      <c r="F36" s="48"/>
      <c r="G36" s="47"/>
    </row>
    <row r="37" spans="1:7" ht="12.75" customHeight="1" x14ac:dyDescent="0.2">
      <c r="A37" s="44" t="s">
        <v>15</v>
      </c>
      <c r="B37" s="46" t="s">
        <v>75</v>
      </c>
      <c r="C37" s="46"/>
      <c r="D37" s="46"/>
      <c r="E37" s="46"/>
      <c r="F37" s="46"/>
      <c r="G37" s="45"/>
    </row>
    <row r="38" spans="1:7" ht="12.75" customHeight="1" x14ac:dyDescent="0.2">
      <c r="A38" s="44" t="s">
        <v>15</v>
      </c>
      <c r="B38" s="46" t="s">
        <v>74</v>
      </c>
      <c r="C38" s="46"/>
      <c r="D38" s="46"/>
      <c r="E38" s="46" t="s">
        <v>73</v>
      </c>
      <c r="F38" s="46"/>
      <c r="G38" s="45"/>
    </row>
    <row r="39" spans="1:7" ht="38.25" customHeight="1" x14ac:dyDescent="0.2">
      <c r="A39" s="44" t="s">
        <v>15</v>
      </c>
      <c r="B39" s="46" t="s">
        <v>72</v>
      </c>
      <c r="C39" s="46"/>
      <c r="D39" s="46"/>
      <c r="E39" s="46" t="s">
        <v>165</v>
      </c>
      <c r="F39" s="46"/>
      <c r="G39" s="45"/>
    </row>
    <row r="40" spans="1:7" ht="15.75" customHeight="1" x14ac:dyDescent="0.2">
      <c r="A40" s="44" t="s">
        <v>15</v>
      </c>
      <c r="B40" s="43" t="s">
        <v>70</v>
      </c>
      <c r="C40" s="43"/>
      <c r="D40" s="43"/>
      <c r="E40" s="43"/>
      <c r="F40" s="43" t="s">
        <v>69</v>
      </c>
      <c r="G40" s="42"/>
    </row>
    <row r="41" spans="1:7" ht="12.75" customHeight="1" x14ac:dyDescent="0.2">
      <c r="A41" s="39" t="s">
        <v>15</v>
      </c>
      <c r="B41" s="41" t="s">
        <v>68</v>
      </c>
      <c r="C41" s="41"/>
      <c r="D41" s="41"/>
      <c r="E41" s="41" t="s">
        <v>230</v>
      </c>
      <c r="F41" s="41"/>
      <c r="G41" s="40"/>
    </row>
    <row r="42" spans="1:7" ht="165.75" customHeight="1" x14ac:dyDescent="0.2">
      <c r="A42" s="53" t="s">
        <v>113</v>
      </c>
      <c r="B42" s="52" t="s">
        <v>229</v>
      </c>
      <c r="C42" s="51" t="s">
        <v>228</v>
      </c>
      <c r="D42" s="51">
        <v>6</v>
      </c>
      <c r="E42" s="51" t="s">
        <v>227</v>
      </c>
      <c r="F42" s="51" t="s">
        <v>226</v>
      </c>
      <c r="G42" s="50">
        <f>ROUND(30.6  * 6 * 1 * 0.5,0)</f>
        <v>92</v>
      </c>
    </row>
    <row r="43" spans="1:7" ht="15.75" customHeight="1" x14ac:dyDescent="0.2">
      <c r="A43" s="49" t="s">
        <v>15</v>
      </c>
      <c r="B43" s="48" t="s">
        <v>76</v>
      </c>
      <c r="C43" s="48"/>
      <c r="D43" s="48"/>
      <c r="E43" s="48"/>
      <c r="F43" s="48"/>
      <c r="G43" s="47"/>
    </row>
    <row r="44" spans="1:7" ht="12.75" customHeight="1" x14ac:dyDescent="0.2">
      <c r="A44" s="44" t="s">
        <v>15</v>
      </c>
      <c r="B44" s="46" t="s">
        <v>75</v>
      </c>
      <c r="C44" s="46"/>
      <c r="D44" s="46"/>
      <c r="E44" s="46"/>
      <c r="F44" s="46"/>
      <c r="G44" s="45"/>
    </row>
    <row r="45" spans="1:7" ht="12.75" customHeight="1" x14ac:dyDescent="0.2">
      <c r="A45" s="44" t="s">
        <v>15</v>
      </c>
      <c r="B45" s="46" t="s">
        <v>74</v>
      </c>
      <c r="C45" s="46"/>
      <c r="D45" s="46"/>
      <c r="E45" s="46" t="s">
        <v>73</v>
      </c>
      <c r="F45" s="46"/>
      <c r="G45" s="45"/>
    </row>
    <row r="46" spans="1:7" ht="38.25" customHeight="1" x14ac:dyDescent="0.2">
      <c r="A46" s="44" t="s">
        <v>15</v>
      </c>
      <c r="B46" s="46" t="s">
        <v>72</v>
      </c>
      <c r="C46" s="46"/>
      <c r="D46" s="46"/>
      <c r="E46" s="46" t="s">
        <v>165</v>
      </c>
      <c r="F46" s="46"/>
      <c r="G46" s="45"/>
    </row>
    <row r="47" spans="1:7" ht="15.75" customHeight="1" x14ac:dyDescent="0.2">
      <c r="A47" s="44" t="s">
        <v>15</v>
      </c>
      <c r="B47" s="43" t="s">
        <v>70</v>
      </c>
      <c r="C47" s="43"/>
      <c r="D47" s="43"/>
      <c r="E47" s="43"/>
      <c r="F47" s="43" t="s">
        <v>69</v>
      </c>
      <c r="G47" s="42"/>
    </row>
    <row r="48" spans="1:7" ht="12.75" customHeight="1" x14ac:dyDescent="0.2">
      <c r="A48" s="39" t="s">
        <v>15</v>
      </c>
      <c r="B48" s="41" t="s">
        <v>68</v>
      </c>
      <c r="C48" s="41"/>
      <c r="D48" s="41"/>
      <c r="E48" s="41" t="s">
        <v>225</v>
      </c>
      <c r="F48" s="41"/>
      <c r="G48" s="40"/>
    </row>
    <row r="49" spans="1:7" ht="242.25" customHeight="1" x14ac:dyDescent="0.2">
      <c r="A49" s="53" t="s">
        <v>107</v>
      </c>
      <c r="B49" s="52" t="s">
        <v>174</v>
      </c>
      <c r="C49" s="51" t="s">
        <v>173</v>
      </c>
      <c r="D49" s="51">
        <v>2</v>
      </c>
      <c r="E49" s="51" t="s">
        <v>224</v>
      </c>
      <c r="F49" s="51" t="s">
        <v>223</v>
      </c>
      <c r="G49" s="50">
        <f>ROUND(16.4  * 2 * 1 * 0.5,0)</f>
        <v>16</v>
      </c>
    </row>
    <row r="50" spans="1:7" ht="15.75" customHeight="1" x14ac:dyDescent="0.2">
      <c r="A50" s="49" t="s">
        <v>15</v>
      </c>
      <c r="B50" s="48" t="s">
        <v>76</v>
      </c>
      <c r="C50" s="48"/>
      <c r="D50" s="48"/>
      <c r="E50" s="48"/>
      <c r="F50" s="48"/>
      <c r="G50" s="47"/>
    </row>
    <row r="51" spans="1:7" ht="12.75" customHeight="1" x14ac:dyDescent="0.2">
      <c r="A51" s="44" t="s">
        <v>15</v>
      </c>
      <c r="B51" s="46" t="s">
        <v>75</v>
      </c>
      <c r="C51" s="46"/>
      <c r="D51" s="46"/>
      <c r="E51" s="46"/>
      <c r="F51" s="46"/>
      <c r="G51" s="45"/>
    </row>
    <row r="52" spans="1:7" ht="12.75" customHeight="1" x14ac:dyDescent="0.2">
      <c r="A52" s="44" t="s">
        <v>15</v>
      </c>
      <c r="B52" s="46" t="s">
        <v>74</v>
      </c>
      <c r="C52" s="46"/>
      <c r="D52" s="46"/>
      <c r="E52" s="46" t="s">
        <v>73</v>
      </c>
      <c r="F52" s="46"/>
      <c r="G52" s="45"/>
    </row>
    <row r="53" spans="1:7" ht="38.25" customHeight="1" x14ac:dyDescent="0.2">
      <c r="A53" s="44" t="s">
        <v>15</v>
      </c>
      <c r="B53" s="46" t="s">
        <v>72</v>
      </c>
      <c r="C53" s="46"/>
      <c r="D53" s="46"/>
      <c r="E53" s="46" t="s">
        <v>165</v>
      </c>
      <c r="F53" s="46"/>
      <c r="G53" s="45"/>
    </row>
    <row r="54" spans="1:7" ht="15.75" customHeight="1" x14ac:dyDescent="0.2">
      <c r="A54" s="44" t="s">
        <v>15</v>
      </c>
      <c r="B54" s="43" t="s">
        <v>70</v>
      </c>
      <c r="C54" s="43"/>
      <c r="D54" s="43"/>
      <c r="E54" s="43"/>
      <c r="F54" s="43" t="s">
        <v>69</v>
      </c>
      <c r="G54" s="42"/>
    </row>
    <row r="55" spans="1:7" ht="12.75" customHeight="1" x14ac:dyDescent="0.2">
      <c r="A55" s="39" t="s">
        <v>15</v>
      </c>
      <c r="B55" s="41" t="s">
        <v>68</v>
      </c>
      <c r="C55" s="41"/>
      <c r="D55" s="41"/>
      <c r="E55" s="41" t="s">
        <v>222</v>
      </c>
      <c r="F55" s="41"/>
      <c r="G55" s="40"/>
    </row>
    <row r="56" spans="1:7" ht="153" customHeight="1" x14ac:dyDescent="0.2">
      <c r="A56" s="53" t="s">
        <v>103</v>
      </c>
      <c r="B56" s="52" t="s">
        <v>221</v>
      </c>
      <c r="C56" s="51" t="s">
        <v>220</v>
      </c>
      <c r="D56" s="51">
        <v>246.4</v>
      </c>
      <c r="E56" s="51" t="s">
        <v>219</v>
      </c>
      <c r="F56" s="51" t="s">
        <v>218</v>
      </c>
      <c r="G56" s="50">
        <f>ROUND(25.7  * 246.4 * 1 * 0.5,0)</f>
        <v>3166</v>
      </c>
    </row>
    <row r="57" spans="1:7" ht="15.75" customHeight="1" x14ac:dyDescent="0.2">
      <c r="A57" s="49" t="s">
        <v>15</v>
      </c>
      <c r="B57" s="48" t="s">
        <v>76</v>
      </c>
      <c r="C57" s="48"/>
      <c r="D57" s="48"/>
      <c r="E57" s="48"/>
      <c r="F57" s="48"/>
      <c r="G57" s="47"/>
    </row>
    <row r="58" spans="1:7" ht="12.75" customHeight="1" x14ac:dyDescent="0.2">
      <c r="A58" s="44" t="s">
        <v>15</v>
      </c>
      <c r="B58" s="46" t="s">
        <v>75</v>
      </c>
      <c r="C58" s="46"/>
      <c r="D58" s="46"/>
      <c r="E58" s="46"/>
      <c r="F58" s="46"/>
      <c r="G58" s="45"/>
    </row>
    <row r="59" spans="1:7" ht="12.75" customHeight="1" x14ac:dyDescent="0.2">
      <c r="A59" s="44" t="s">
        <v>15</v>
      </c>
      <c r="B59" s="46" t="s">
        <v>74</v>
      </c>
      <c r="C59" s="46"/>
      <c r="D59" s="46"/>
      <c r="E59" s="46" t="s">
        <v>73</v>
      </c>
      <c r="F59" s="46"/>
      <c r="G59" s="45"/>
    </row>
    <row r="60" spans="1:7" ht="38.25" customHeight="1" x14ac:dyDescent="0.2">
      <c r="A60" s="44" t="s">
        <v>15</v>
      </c>
      <c r="B60" s="46" t="s">
        <v>72</v>
      </c>
      <c r="C60" s="46"/>
      <c r="D60" s="46"/>
      <c r="E60" s="46" t="s">
        <v>165</v>
      </c>
      <c r="F60" s="46"/>
      <c r="G60" s="45"/>
    </row>
    <row r="61" spans="1:7" ht="15.75" customHeight="1" x14ac:dyDescent="0.2">
      <c r="A61" s="44" t="s">
        <v>15</v>
      </c>
      <c r="B61" s="43" t="s">
        <v>70</v>
      </c>
      <c r="C61" s="43"/>
      <c r="D61" s="43"/>
      <c r="E61" s="43"/>
      <c r="F61" s="43" t="s">
        <v>69</v>
      </c>
      <c r="G61" s="42"/>
    </row>
    <row r="62" spans="1:7" ht="12.75" customHeight="1" x14ac:dyDescent="0.2">
      <c r="A62" s="39" t="s">
        <v>15</v>
      </c>
      <c r="B62" s="41" t="s">
        <v>68</v>
      </c>
      <c r="C62" s="41"/>
      <c r="D62" s="41"/>
      <c r="E62" s="41" t="s">
        <v>217</v>
      </c>
      <c r="F62" s="41"/>
      <c r="G62" s="40"/>
    </row>
    <row r="63" spans="1:7" ht="12.75" customHeight="1" x14ac:dyDescent="0.2">
      <c r="A63" s="39" t="s">
        <v>101</v>
      </c>
      <c r="B63" s="38" t="s">
        <v>102</v>
      </c>
      <c r="C63" s="38"/>
      <c r="D63" s="38"/>
      <c r="E63" s="38"/>
      <c r="F63" s="38"/>
      <c r="G63" s="37">
        <f>ROUND((SUM($G$20:$G$56)),0)</f>
        <v>3458</v>
      </c>
    </row>
    <row r="64" spans="1:7" ht="12.75" customHeight="1" x14ac:dyDescent="0.2">
      <c r="A64" s="31" t="s">
        <v>216</v>
      </c>
      <c r="B64" s="30" t="s">
        <v>100</v>
      </c>
      <c r="C64" s="30"/>
      <c r="D64" s="30"/>
      <c r="E64" s="30"/>
      <c r="F64" s="30"/>
      <c r="G64" s="35">
        <f>ROUND(($G$63),0)</f>
        <v>3458</v>
      </c>
    </row>
    <row r="65" spans="1:7" ht="12.75" customHeight="1" x14ac:dyDescent="0.2">
      <c r="A65" s="31" t="s">
        <v>19</v>
      </c>
      <c r="B65" s="30" t="s">
        <v>62</v>
      </c>
      <c r="C65" s="30"/>
      <c r="D65" s="30"/>
      <c r="E65" s="30" t="s">
        <v>215</v>
      </c>
      <c r="F65" s="30"/>
      <c r="G65" s="36"/>
    </row>
    <row r="66" spans="1:7" ht="191.25" customHeight="1" x14ac:dyDescent="0.2">
      <c r="A66" s="57" t="s">
        <v>98</v>
      </c>
      <c r="B66" s="56" t="s">
        <v>214</v>
      </c>
      <c r="C66" s="55" t="s">
        <v>200</v>
      </c>
      <c r="D66" s="55">
        <v>6</v>
      </c>
      <c r="E66" s="55" t="s">
        <v>213</v>
      </c>
      <c r="F66" s="55" t="s">
        <v>212</v>
      </c>
      <c r="G66" s="54">
        <f>ROUND(193  * 6 * 1 * 0.5,0)</f>
        <v>579</v>
      </c>
    </row>
    <row r="67" spans="1:7" ht="15.75" customHeight="1" x14ac:dyDescent="0.2">
      <c r="A67" s="49" t="s">
        <v>15</v>
      </c>
      <c r="B67" s="48" t="s">
        <v>76</v>
      </c>
      <c r="C67" s="48"/>
      <c r="D67" s="48"/>
      <c r="E67" s="48"/>
      <c r="F67" s="48"/>
      <c r="G67" s="47"/>
    </row>
    <row r="68" spans="1:7" ht="12.75" customHeight="1" x14ac:dyDescent="0.2">
      <c r="A68" s="44" t="s">
        <v>15</v>
      </c>
      <c r="B68" s="46" t="s">
        <v>75</v>
      </c>
      <c r="C68" s="46"/>
      <c r="D68" s="46"/>
      <c r="E68" s="46"/>
      <c r="F68" s="46"/>
      <c r="G68" s="45"/>
    </row>
    <row r="69" spans="1:7" ht="12.75" customHeight="1" x14ac:dyDescent="0.2">
      <c r="A69" s="44" t="s">
        <v>15</v>
      </c>
      <c r="B69" s="46" t="s">
        <v>74</v>
      </c>
      <c r="C69" s="46"/>
      <c r="D69" s="46"/>
      <c r="E69" s="46" t="s">
        <v>73</v>
      </c>
      <c r="F69" s="46"/>
      <c r="G69" s="45"/>
    </row>
    <row r="70" spans="1:7" ht="38.25" customHeight="1" x14ac:dyDescent="0.2">
      <c r="A70" s="44" t="s">
        <v>15</v>
      </c>
      <c r="B70" s="46" t="s">
        <v>72</v>
      </c>
      <c r="C70" s="46"/>
      <c r="D70" s="46"/>
      <c r="E70" s="46" t="s">
        <v>165</v>
      </c>
      <c r="F70" s="46"/>
      <c r="G70" s="45"/>
    </row>
    <row r="71" spans="1:7" ht="15.75" customHeight="1" x14ac:dyDescent="0.2">
      <c r="A71" s="44" t="s">
        <v>15</v>
      </c>
      <c r="B71" s="43" t="s">
        <v>70</v>
      </c>
      <c r="C71" s="43"/>
      <c r="D71" s="43"/>
      <c r="E71" s="43"/>
      <c r="F71" s="43" t="s">
        <v>69</v>
      </c>
      <c r="G71" s="42"/>
    </row>
    <row r="72" spans="1:7" ht="12.75" customHeight="1" x14ac:dyDescent="0.2">
      <c r="A72" s="39" t="s">
        <v>15</v>
      </c>
      <c r="B72" s="41" t="s">
        <v>68</v>
      </c>
      <c r="C72" s="41"/>
      <c r="D72" s="41"/>
      <c r="E72" s="41" t="s">
        <v>211</v>
      </c>
      <c r="F72" s="41"/>
      <c r="G72" s="40"/>
    </row>
    <row r="73" spans="1:7" ht="165.75" customHeight="1" x14ac:dyDescent="0.2">
      <c r="A73" s="136" t="s">
        <v>93</v>
      </c>
      <c r="B73" s="137" t="s">
        <v>210</v>
      </c>
      <c r="C73" s="138" t="s">
        <v>200</v>
      </c>
      <c r="D73" s="138">
        <v>6</v>
      </c>
      <c r="E73" s="138" t="s">
        <v>209</v>
      </c>
      <c r="F73" s="138" t="s">
        <v>208</v>
      </c>
      <c r="G73" s="139">
        <f>ROUND(45.5  * 6 * 1 * 0.5,0)</f>
        <v>137</v>
      </c>
    </row>
    <row r="74" spans="1:7" ht="12.75" customHeight="1" x14ac:dyDescent="0.2">
      <c r="A74" s="136"/>
      <c r="B74" s="137"/>
      <c r="C74" s="138"/>
      <c r="D74" s="138"/>
      <c r="E74" s="138"/>
      <c r="F74" s="138"/>
      <c r="G74" s="139"/>
    </row>
    <row r="75" spans="1:7" ht="15.75" customHeight="1" x14ac:dyDescent="0.2">
      <c r="A75" s="49" t="s">
        <v>15</v>
      </c>
      <c r="B75" s="48" t="s">
        <v>76</v>
      </c>
      <c r="C75" s="48"/>
      <c r="D75" s="48"/>
      <c r="E75" s="48"/>
      <c r="F75" s="48"/>
      <c r="G75" s="47"/>
    </row>
    <row r="76" spans="1:7" ht="12.75" customHeight="1" x14ac:dyDescent="0.2">
      <c r="A76" s="44" t="s">
        <v>15</v>
      </c>
      <c r="B76" s="46" t="s">
        <v>75</v>
      </c>
      <c r="C76" s="46"/>
      <c r="D76" s="46"/>
      <c r="E76" s="46"/>
      <c r="F76" s="46"/>
      <c r="G76" s="45"/>
    </row>
    <row r="77" spans="1:7" ht="12.75" customHeight="1" x14ac:dyDescent="0.2">
      <c r="A77" s="44" t="s">
        <v>15</v>
      </c>
      <c r="B77" s="46" t="s">
        <v>74</v>
      </c>
      <c r="C77" s="46"/>
      <c r="D77" s="46"/>
      <c r="E77" s="46" t="s">
        <v>73</v>
      </c>
      <c r="F77" s="46"/>
      <c r="G77" s="45"/>
    </row>
    <row r="78" spans="1:7" ht="38.25" customHeight="1" x14ac:dyDescent="0.2">
      <c r="A78" s="44" t="s">
        <v>15</v>
      </c>
      <c r="B78" s="46" t="s">
        <v>72</v>
      </c>
      <c r="C78" s="46"/>
      <c r="D78" s="46"/>
      <c r="E78" s="46" t="s">
        <v>165</v>
      </c>
      <c r="F78" s="46"/>
      <c r="G78" s="45"/>
    </row>
    <row r="79" spans="1:7" ht="15.75" customHeight="1" x14ac:dyDescent="0.2">
      <c r="A79" s="44" t="s">
        <v>15</v>
      </c>
      <c r="B79" s="43" t="s">
        <v>70</v>
      </c>
      <c r="C79" s="43"/>
      <c r="D79" s="43"/>
      <c r="E79" s="43"/>
      <c r="F79" s="43" t="s">
        <v>69</v>
      </c>
      <c r="G79" s="42"/>
    </row>
    <row r="80" spans="1:7" ht="12.75" customHeight="1" x14ac:dyDescent="0.2">
      <c r="A80" s="39" t="s">
        <v>15</v>
      </c>
      <c r="B80" s="41" t="s">
        <v>68</v>
      </c>
      <c r="C80" s="41"/>
      <c r="D80" s="41"/>
      <c r="E80" s="41" t="s">
        <v>207</v>
      </c>
      <c r="F80" s="41"/>
      <c r="G80" s="40"/>
    </row>
    <row r="81" spans="1:7" ht="178.5" customHeight="1" x14ac:dyDescent="0.2">
      <c r="A81" s="53" t="s">
        <v>87</v>
      </c>
      <c r="B81" s="52" t="s">
        <v>206</v>
      </c>
      <c r="C81" s="51" t="s">
        <v>205</v>
      </c>
      <c r="D81" s="51">
        <v>6</v>
      </c>
      <c r="E81" s="51" t="s">
        <v>204</v>
      </c>
      <c r="F81" s="51" t="s">
        <v>203</v>
      </c>
      <c r="G81" s="50">
        <f>ROUND(96.2  * 6 * 1 * 0.5,0)</f>
        <v>289</v>
      </c>
    </row>
    <row r="82" spans="1:7" ht="15.75" customHeight="1" x14ac:dyDescent="0.2">
      <c r="A82" s="49" t="s">
        <v>15</v>
      </c>
      <c r="B82" s="48" t="s">
        <v>76</v>
      </c>
      <c r="C82" s="48"/>
      <c r="D82" s="48"/>
      <c r="E82" s="48"/>
      <c r="F82" s="48"/>
      <c r="G82" s="47"/>
    </row>
    <row r="83" spans="1:7" ht="12.75" customHeight="1" x14ac:dyDescent="0.2">
      <c r="A83" s="44" t="s">
        <v>15</v>
      </c>
      <c r="B83" s="46" t="s">
        <v>75</v>
      </c>
      <c r="C83" s="46"/>
      <c r="D83" s="46"/>
      <c r="E83" s="46"/>
      <c r="F83" s="46"/>
      <c r="G83" s="45"/>
    </row>
    <row r="84" spans="1:7" ht="12.75" customHeight="1" x14ac:dyDescent="0.2">
      <c r="A84" s="44" t="s">
        <v>15</v>
      </c>
      <c r="B84" s="46" t="s">
        <v>74</v>
      </c>
      <c r="C84" s="46"/>
      <c r="D84" s="46"/>
      <c r="E84" s="46" t="s">
        <v>73</v>
      </c>
      <c r="F84" s="46"/>
      <c r="G84" s="45"/>
    </row>
    <row r="85" spans="1:7" ht="38.25" customHeight="1" x14ac:dyDescent="0.2">
      <c r="A85" s="44" t="s">
        <v>15</v>
      </c>
      <c r="B85" s="46" t="s">
        <v>72</v>
      </c>
      <c r="C85" s="46"/>
      <c r="D85" s="46"/>
      <c r="E85" s="46" t="s">
        <v>165</v>
      </c>
      <c r="F85" s="46"/>
      <c r="G85" s="45"/>
    </row>
    <row r="86" spans="1:7" ht="15.75" customHeight="1" x14ac:dyDescent="0.2">
      <c r="A86" s="44" t="s">
        <v>15</v>
      </c>
      <c r="B86" s="43" t="s">
        <v>70</v>
      </c>
      <c r="C86" s="43"/>
      <c r="D86" s="43"/>
      <c r="E86" s="43"/>
      <c r="F86" s="43" t="s">
        <v>69</v>
      </c>
      <c r="G86" s="42"/>
    </row>
    <row r="87" spans="1:7" ht="12.75" customHeight="1" x14ac:dyDescent="0.2">
      <c r="A87" s="39" t="s">
        <v>15</v>
      </c>
      <c r="B87" s="41" t="s">
        <v>68</v>
      </c>
      <c r="C87" s="41"/>
      <c r="D87" s="41"/>
      <c r="E87" s="41" t="s">
        <v>202</v>
      </c>
      <c r="F87" s="41"/>
      <c r="G87" s="40"/>
    </row>
    <row r="88" spans="1:7" ht="178.5" customHeight="1" x14ac:dyDescent="0.2">
      <c r="A88" s="53" t="s">
        <v>81</v>
      </c>
      <c r="B88" s="52" t="s">
        <v>201</v>
      </c>
      <c r="C88" s="51" t="s">
        <v>200</v>
      </c>
      <c r="D88" s="51">
        <v>6</v>
      </c>
      <c r="E88" s="51" t="s">
        <v>199</v>
      </c>
      <c r="F88" s="51" t="s">
        <v>198</v>
      </c>
      <c r="G88" s="50">
        <f>ROUND(25.4  * 6 * 1 * 0.5,0)</f>
        <v>76</v>
      </c>
    </row>
    <row r="89" spans="1:7" ht="15.75" customHeight="1" x14ac:dyDescent="0.2">
      <c r="A89" s="49" t="s">
        <v>15</v>
      </c>
      <c r="B89" s="48" t="s">
        <v>76</v>
      </c>
      <c r="C89" s="48"/>
      <c r="D89" s="48"/>
      <c r="E89" s="48"/>
      <c r="F89" s="48"/>
      <c r="G89" s="47"/>
    </row>
    <row r="90" spans="1:7" ht="12.75" customHeight="1" x14ac:dyDescent="0.2">
      <c r="A90" s="44" t="s">
        <v>15</v>
      </c>
      <c r="B90" s="46" t="s">
        <v>75</v>
      </c>
      <c r="C90" s="46"/>
      <c r="D90" s="46"/>
      <c r="E90" s="46"/>
      <c r="F90" s="46"/>
      <c r="G90" s="45"/>
    </row>
    <row r="91" spans="1:7" ht="12.75" customHeight="1" x14ac:dyDescent="0.2">
      <c r="A91" s="44" t="s">
        <v>15</v>
      </c>
      <c r="B91" s="46" t="s">
        <v>74</v>
      </c>
      <c r="C91" s="46"/>
      <c r="D91" s="46"/>
      <c r="E91" s="46" t="s">
        <v>73</v>
      </c>
      <c r="F91" s="46"/>
      <c r="G91" s="45"/>
    </row>
    <row r="92" spans="1:7" ht="38.25" customHeight="1" x14ac:dyDescent="0.2">
      <c r="A92" s="44" t="s">
        <v>15</v>
      </c>
      <c r="B92" s="46" t="s">
        <v>72</v>
      </c>
      <c r="C92" s="46"/>
      <c r="D92" s="46"/>
      <c r="E92" s="46" t="s">
        <v>165</v>
      </c>
      <c r="F92" s="46"/>
      <c r="G92" s="45"/>
    </row>
    <row r="93" spans="1:7" ht="15.75" customHeight="1" x14ac:dyDescent="0.2">
      <c r="A93" s="44" t="s">
        <v>15</v>
      </c>
      <c r="B93" s="43" t="s">
        <v>70</v>
      </c>
      <c r="C93" s="43"/>
      <c r="D93" s="43"/>
      <c r="E93" s="43"/>
      <c r="F93" s="43" t="s">
        <v>69</v>
      </c>
      <c r="G93" s="42"/>
    </row>
    <row r="94" spans="1:7" ht="12.75" customHeight="1" x14ac:dyDescent="0.2">
      <c r="A94" s="39" t="s">
        <v>15</v>
      </c>
      <c r="B94" s="41" t="s">
        <v>68</v>
      </c>
      <c r="C94" s="41"/>
      <c r="D94" s="41"/>
      <c r="E94" s="41" t="s">
        <v>197</v>
      </c>
      <c r="F94" s="41"/>
      <c r="G94" s="40"/>
    </row>
    <row r="95" spans="1:7" ht="25.5" customHeight="1" x14ac:dyDescent="0.2">
      <c r="A95" s="39" t="s">
        <v>66</v>
      </c>
      <c r="B95" s="38" t="s">
        <v>196</v>
      </c>
      <c r="C95" s="38"/>
      <c r="D95" s="38"/>
      <c r="E95" s="38"/>
      <c r="F95" s="38"/>
      <c r="G95" s="37">
        <f>ROUND((SUM($G$66:$G$88)),0)</f>
        <v>1081</v>
      </c>
    </row>
    <row r="96" spans="1:7" ht="25.5" customHeight="1" x14ac:dyDescent="0.2">
      <c r="A96" s="31" t="s">
        <v>64</v>
      </c>
      <c r="B96" s="30" t="s">
        <v>195</v>
      </c>
      <c r="C96" s="30"/>
      <c r="D96" s="30"/>
      <c r="E96" s="30"/>
      <c r="F96" s="30"/>
      <c r="G96" s="35">
        <f>ROUND(($G$95),0)</f>
        <v>1081</v>
      </c>
    </row>
    <row r="97" spans="1:7" ht="12.75" customHeight="1" x14ac:dyDescent="0.2">
      <c r="A97" s="31" t="s">
        <v>21</v>
      </c>
      <c r="B97" s="30" t="s">
        <v>62</v>
      </c>
      <c r="C97" s="30"/>
      <c r="D97" s="30"/>
      <c r="E97" s="30" t="s">
        <v>99</v>
      </c>
      <c r="F97" s="30"/>
      <c r="G97" s="36"/>
    </row>
    <row r="98" spans="1:7" ht="204" customHeight="1" x14ac:dyDescent="0.2">
      <c r="A98" s="57" t="s">
        <v>60</v>
      </c>
      <c r="B98" s="56" t="s">
        <v>194</v>
      </c>
      <c r="C98" s="55" t="s">
        <v>193</v>
      </c>
      <c r="D98" s="55">
        <v>6</v>
      </c>
      <c r="E98" s="55" t="s">
        <v>192</v>
      </c>
      <c r="F98" s="55" t="s">
        <v>191</v>
      </c>
      <c r="G98" s="54">
        <f>ROUND(23.4  * 6 * 1 * 0.5,0)</f>
        <v>70</v>
      </c>
    </row>
    <row r="99" spans="1:7" ht="15.75" customHeight="1" x14ac:dyDescent="0.2">
      <c r="A99" s="49" t="s">
        <v>15</v>
      </c>
      <c r="B99" s="48" t="s">
        <v>76</v>
      </c>
      <c r="C99" s="48"/>
      <c r="D99" s="48"/>
      <c r="E99" s="48"/>
      <c r="F99" s="48"/>
      <c r="G99" s="47"/>
    </row>
    <row r="100" spans="1:7" ht="12.75" customHeight="1" x14ac:dyDescent="0.2">
      <c r="A100" s="44" t="s">
        <v>15</v>
      </c>
      <c r="B100" s="46" t="s">
        <v>75</v>
      </c>
      <c r="C100" s="46"/>
      <c r="D100" s="46"/>
      <c r="E100" s="46"/>
      <c r="F100" s="46"/>
      <c r="G100" s="45"/>
    </row>
    <row r="101" spans="1:7" ht="12.75" customHeight="1" x14ac:dyDescent="0.2">
      <c r="A101" s="44" t="s">
        <v>15</v>
      </c>
      <c r="B101" s="46" t="s">
        <v>74</v>
      </c>
      <c r="C101" s="46"/>
      <c r="D101" s="46"/>
      <c r="E101" s="46" t="s">
        <v>73</v>
      </c>
      <c r="F101" s="46"/>
      <c r="G101" s="45"/>
    </row>
    <row r="102" spans="1:7" ht="38.25" customHeight="1" x14ac:dyDescent="0.2">
      <c r="A102" s="44" t="s">
        <v>15</v>
      </c>
      <c r="B102" s="46" t="s">
        <v>72</v>
      </c>
      <c r="C102" s="46"/>
      <c r="D102" s="46"/>
      <c r="E102" s="46" t="s">
        <v>165</v>
      </c>
      <c r="F102" s="46"/>
      <c r="G102" s="45"/>
    </row>
    <row r="103" spans="1:7" ht="15.75" customHeight="1" x14ac:dyDescent="0.2">
      <c r="A103" s="44" t="s">
        <v>15</v>
      </c>
      <c r="B103" s="43" t="s">
        <v>70</v>
      </c>
      <c r="C103" s="43"/>
      <c r="D103" s="43"/>
      <c r="E103" s="43"/>
      <c r="F103" s="43" t="s">
        <v>69</v>
      </c>
      <c r="G103" s="42"/>
    </row>
    <row r="104" spans="1:7" ht="12.75" customHeight="1" x14ac:dyDescent="0.2">
      <c r="A104" s="39" t="s">
        <v>15</v>
      </c>
      <c r="B104" s="41" t="s">
        <v>68</v>
      </c>
      <c r="C104" s="41"/>
      <c r="D104" s="41"/>
      <c r="E104" s="41" t="s">
        <v>190</v>
      </c>
      <c r="F104" s="41"/>
      <c r="G104" s="40"/>
    </row>
    <row r="105" spans="1:7" ht="178.5" customHeight="1" x14ac:dyDescent="0.2">
      <c r="A105" s="53" t="s">
        <v>56</v>
      </c>
      <c r="B105" s="52" t="s">
        <v>189</v>
      </c>
      <c r="C105" s="51" t="s">
        <v>188</v>
      </c>
      <c r="D105" s="51">
        <v>2.2000000000000002</v>
      </c>
      <c r="E105" s="51" t="s">
        <v>187</v>
      </c>
      <c r="F105" s="51" t="s">
        <v>186</v>
      </c>
      <c r="G105" s="50">
        <f>ROUND(9.3  * 2.2 * 1 * 0.5,0)</f>
        <v>10</v>
      </c>
    </row>
    <row r="106" spans="1:7" ht="15.75" customHeight="1" x14ac:dyDescent="0.2">
      <c r="A106" s="49" t="s">
        <v>15</v>
      </c>
      <c r="B106" s="48" t="s">
        <v>76</v>
      </c>
      <c r="C106" s="48"/>
      <c r="D106" s="48"/>
      <c r="E106" s="48"/>
      <c r="F106" s="48"/>
      <c r="G106" s="47"/>
    </row>
    <row r="107" spans="1:7" ht="12.75" customHeight="1" x14ac:dyDescent="0.2">
      <c r="A107" s="44" t="s">
        <v>15</v>
      </c>
      <c r="B107" s="46" t="s">
        <v>75</v>
      </c>
      <c r="C107" s="46"/>
      <c r="D107" s="46"/>
      <c r="E107" s="46"/>
      <c r="F107" s="46"/>
      <c r="G107" s="45"/>
    </row>
    <row r="108" spans="1:7" ht="12.75" customHeight="1" x14ac:dyDescent="0.2">
      <c r="A108" s="44" t="s">
        <v>15</v>
      </c>
      <c r="B108" s="46" t="s">
        <v>74</v>
      </c>
      <c r="C108" s="46"/>
      <c r="D108" s="46"/>
      <c r="E108" s="46" t="s">
        <v>73</v>
      </c>
      <c r="F108" s="46"/>
      <c r="G108" s="45"/>
    </row>
    <row r="109" spans="1:7" ht="38.25" customHeight="1" x14ac:dyDescent="0.2">
      <c r="A109" s="44" t="s">
        <v>15</v>
      </c>
      <c r="B109" s="46" t="s">
        <v>72</v>
      </c>
      <c r="C109" s="46"/>
      <c r="D109" s="46"/>
      <c r="E109" s="46" t="s">
        <v>165</v>
      </c>
      <c r="F109" s="46"/>
      <c r="G109" s="45"/>
    </row>
    <row r="110" spans="1:7" ht="15.75" customHeight="1" x14ac:dyDescent="0.2">
      <c r="A110" s="44" t="s">
        <v>15</v>
      </c>
      <c r="B110" s="43" t="s">
        <v>70</v>
      </c>
      <c r="C110" s="43"/>
      <c r="D110" s="43"/>
      <c r="E110" s="43"/>
      <c r="F110" s="43" t="s">
        <v>69</v>
      </c>
      <c r="G110" s="42"/>
    </row>
    <row r="111" spans="1:7" ht="12.75" customHeight="1" x14ac:dyDescent="0.2">
      <c r="A111" s="39" t="s">
        <v>15</v>
      </c>
      <c r="B111" s="41" t="s">
        <v>68</v>
      </c>
      <c r="C111" s="41"/>
      <c r="D111" s="41"/>
      <c r="E111" s="41" t="s">
        <v>170</v>
      </c>
      <c r="F111" s="41"/>
      <c r="G111" s="40"/>
    </row>
    <row r="112" spans="1:7" ht="127.5" customHeight="1" x14ac:dyDescent="0.2">
      <c r="A112" s="53" t="s">
        <v>52</v>
      </c>
      <c r="B112" s="52" t="s">
        <v>185</v>
      </c>
      <c r="C112" s="51" t="s">
        <v>184</v>
      </c>
      <c r="D112" s="51">
        <v>1</v>
      </c>
      <c r="E112" s="51" t="s">
        <v>183</v>
      </c>
      <c r="F112" s="51" t="s">
        <v>182</v>
      </c>
      <c r="G112" s="50">
        <f>ROUND(1100  * 1 * 1 * 0.5,0)</f>
        <v>550</v>
      </c>
    </row>
    <row r="113" spans="1:7" ht="15.75" customHeight="1" x14ac:dyDescent="0.2">
      <c r="A113" s="49" t="s">
        <v>15</v>
      </c>
      <c r="B113" s="48" t="s">
        <v>76</v>
      </c>
      <c r="C113" s="48"/>
      <c r="D113" s="48"/>
      <c r="E113" s="48"/>
      <c r="F113" s="48"/>
      <c r="G113" s="47"/>
    </row>
    <row r="114" spans="1:7" ht="12.75" customHeight="1" x14ac:dyDescent="0.2">
      <c r="A114" s="44" t="s">
        <v>15</v>
      </c>
      <c r="B114" s="46" t="s">
        <v>75</v>
      </c>
      <c r="C114" s="46"/>
      <c r="D114" s="46"/>
      <c r="E114" s="46"/>
      <c r="F114" s="46"/>
      <c r="G114" s="45"/>
    </row>
    <row r="115" spans="1:7" ht="12.75" customHeight="1" x14ac:dyDescent="0.2">
      <c r="A115" s="44" t="s">
        <v>15</v>
      </c>
      <c r="B115" s="46" t="s">
        <v>74</v>
      </c>
      <c r="C115" s="46"/>
      <c r="D115" s="46"/>
      <c r="E115" s="46" t="s">
        <v>73</v>
      </c>
      <c r="F115" s="46"/>
      <c r="G115" s="45"/>
    </row>
    <row r="116" spans="1:7" ht="38.25" customHeight="1" x14ac:dyDescent="0.2">
      <c r="A116" s="44" t="s">
        <v>15</v>
      </c>
      <c r="B116" s="46" t="s">
        <v>72</v>
      </c>
      <c r="C116" s="46"/>
      <c r="D116" s="46"/>
      <c r="E116" s="46" t="s">
        <v>165</v>
      </c>
      <c r="F116" s="46"/>
      <c r="G116" s="45"/>
    </row>
    <row r="117" spans="1:7" ht="15.75" customHeight="1" x14ac:dyDescent="0.2">
      <c r="A117" s="44" t="s">
        <v>15</v>
      </c>
      <c r="B117" s="43" t="s">
        <v>70</v>
      </c>
      <c r="C117" s="43"/>
      <c r="D117" s="43"/>
      <c r="E117" s="43"/>
      <c r="F117" s="43" t="s">
        <v>69</v>
      </c>
      <c r="G117" s="42"/>
    </row>
    <row r="118" spans="1:7" ht="12.75" customHeight="1" x14ac:dyDescent="0.2">
      <c r="A118" s="39" t="s">
        <v>15</v>
      </c>
      <c r="B118" s="41" t="s">
        <v>68</v>
      </c>
      <c r="C118" s="41"/>
      <c r="D118" s="41"/>
      <c r="E118" s="41" t="s">
        <v>181</v>
      </c>
      <c r="F118" s="41"/>
      <c r="G118" s="40"/>
    </row>
    <row r="119" spans="1:7" ht="153" customHeight="1" x14ac:dyDescent="0.2">
      <c r="A119" s="53" t="s">
        <v>48</v>
      </c>
      <c r="B119" s="52" t="s">
        <v>180</v>
      </c>
      <c r="C119" s="51" t="s">
        <v>179</v>
      </c>
      <c r="D119" s="51">
        <v>6</v>
      </c>
      <c r="E119" s="51" t="s">
        <v>178</v>
      </c>
      <c r="F119" s="51" t="s">
        <v>177</v>
      </c>
      <c r="G119" s="50">
        <f>ROUND(8  * 6 * 1 * 0.5,0)</f>
        <v>24</v>
      </c>
    </row>
    <row r="120" spans="1:7" ht="15.75" customHeight="1" x14ac:dyDescent="0.2">
      <c r="A120" s="49" t="s">
        <v>15</v>
      </c>
      <c r="B120" s="48" t="s">
        <v>76</v>
      </c>
      <c r="C120" s="48"/>
      <c r="D120" s="48"/>
      <c r="E120" s="48"/>
      <c r="F120" s="48"/>
      <c r="G120" s="47"/>
    </row>
    <row r="121" spans="1:7" ht="12.75" customHeight="1" x14ac:dyDescent="0.2">
      <c r="A121" s="44" t="s">
        <v>15</v>
      </c>
      <c r="B121" s="46" t="s">
        <v>75</v>
      </c>
      <c r="C121" s="46"/>
      <c r="D121" s="46"/>
      <c r="E121" s="46"/>
      <c r="F121" s="46"/>
      <c r="G121" s="45"/>
    </row>
    <row r="122" spans="1:7" ht="12.75" customHeight="1" x14ac:dyDescent="0.2">
      <c r="A122" s="44" t="s">
        <v>15</v>
      </c>
      <c r="B122" s="46" t="s">
        <v>74</v>
      </c>
      <c r="C122" s="46"/>
      <c r="D122" s="46"/>
      <c r="E122" s="46" t="s">
        <v>73</v>
      </c>
      <c r="F122" s="46"/>
      <c r="G122" s="45"/>
    </row>
    <row r="123" spans="1:7" ht="38.25" customHeight="1" x14ac:dyDescent="0.2">
      <c r="A123" s="44" t="s">
        <v>15</v>
      </c>
      <c r="B123" s="46" t="s">
        <v>72</v>
      </c>
      <c r="C123" s="46"/>
      <c r="D123" s="46"/>
      <c r="E123" s="46" t="s">
        <v>165</v>
      </c>
      <c r="F123" s="46"/>
      <c r="G123" s="45"/>
    </row>
    <row r="124" spans="1:7" ht="15.75" customHeight="1" x14ac:dyDescent="0.2">
      <c r="A124" s="44" t="s">
        <v>15</v>
      </c>
      <c r="B124" s="43" t="s">
        <v>70</v>
      </c>
      <c r="C124" s="43"/>
      <c r="D124" s="43"/>
      <c r="E124" s="43"/>
      <c r="F124" s="43" t="s">
        <v>69</v>
      </c>
      <c r="G124" s="42"/>
    </row>
    <row r="125" spans="1:7" ht="12.75" customHeight="1" x14ac:dyDescent="0.2">
      <c r="A125" s="39" t="s">
        <v>15</v>
      </c>
      <c r="B125" s="41" t="s">
        <v>68</v>
      </c>
      <c r="C125" s="41"/>
      <c r="D125" s="41"/>
      <c r="E125" s="41" t="s">
        <v>176</v>
      </c>
      <c r="F125" s="41"/>
      <c r="G125" s="40"/>
    </row>
    <row r="126" spans="1:7" ht="229.5" customHeight="1" x14ac:dyDescent="0.2">
      <c r="A126" s="136" t="s">
        <v>175</v>
      </c>
      <c r="B126" s="137" t="s">
        <v>174</v>
      </c>
      <c r="C126" s="138" t="s">
        <v>173</v>
      </c>
      <c r="D126" s="138">
        <v>2</v>
      </c>
      <c r="E126" s="138" t="s">
        <v>172</v>
      </c>
      <c r="F126" s="138" t="s">
        <v>171</v>
      </c>
      <c r="G126" s="139">
        <f>ROUND(10.2  * 2 * 1 * 0.5,0)</f>
        <v>10</v>
      </c>
    </row>
    <row r="127" spans="1:7" ht="12.75" customHeight="1" x14ac:dyDescent="0.2">
      <c r="A127" s="136"/>
      <c r="B127" s="137"/>
      <c r="C127" s="138"/>
      <c r="D127" s="138"/>
      <c r="E127" s="138"/>
      <c r="F127" s="138"/>
      <c r="G127" s="139"/>
    </row>
    <row r="128" spans="1:7" ht="15.75" customHeight="1" x14ac:dyDescent="0.2">
      <c r="A128" s="49" t="s">
        <v>15</v>
      </c>
      <c r="B128" s="48" t="s">
        <v>76</v>
      </c>
      <c r="C128" s="48"/>
      <c r="D128" s="48"/>
      <c r="E128" s="48"/>
      <c r="F128" s="48"/>
      <c r="G128" s="47"/>
    </row>
    <row r="129" spans="1:7" ht="12.75" customHeight="1" x14ac:dyDescent="0.2">
      <c r="A129" s="44" t="s">
        <v>15</v>
      </c>
      <c r="B129" s="46" t="s">
        <v>75</v>
      </c>
      <c r="C129" s="46"/>
      <c r="D129" s="46"/>
      <c r="E129" s="46"/>
      <c r="F129" s="46"/>
      <c r="G129" s="45"/>
    </row>
    <row r="130" spans="1:7" ht="12.75" customHeight="1" x14ac:dyDescent="0.2">
      <c r="A130" s="44" t="s">
        <v>15</v>
      </c>
      <c r="B130" s="46" t="s">
        <v>74</v>
      </c>
      <c r="C130" s="46"/>
      <c r="D130" s="46"/>
      <c r="E130" s="46" t="s">
        <v>73</v>
      </c>
      <c r="F130" s="46"/>
      <c r="G130" s="45"/>
    </row>
    <row r="131" spans="1:7" ht="38.25" customHeight="1" x14ac:dyDescent="0.2">
      <c r="A131" s="44" t="s">
        <v>15</v>
      </c>
      <c r="B131" s="46" t="s">
        <v>72</v>
      </c>
      <c r="C131" s="46"/>
      <c r="D131" s="46"/>
      <c r="E131" s="46" t="s">
        <v>165</v>
      </c>
      <c r="F131" s="46"/>
      <c r="G131" s="45"/>
    </row>
    <row r="132" spans="1:7" ht="15.75" customHeight="1" x14ac:dyDescent="0.2">
      <c r="A132" s="44" t="s">
        <v>15</v>
      </c>
      <c r="B132" s="43" t="s">
        <v>70</v>
      </c>
      <c r="C132" s="43"/>
      <c r="D132" s="43"/>
      <c r="E132" s="43"/>
      <c r="F132" s="43" t="s">
        <v>69</v>
      </c>
      <c r="G132" s="42"/>
    </row>
    <row r="133" spans="1:7" ht="12.75" customHeight="1" x14ac:dyDescent="0.2">
      <c r="A133" s="39" t="s">
        <v>15</v>
      </c>
      <c r="B133" s="41" t="s">
        <v>68</v>
      </c>
      <c r="C133" s="41"/>
      <c r="D133" s="41"/>
      <c r="E133" s="41" t="s">
        <v>170</v>
      </c>
      <c r="F133" s="41"/>
      <c r="G133" s="40"/>
    </row>
    <row r="134" spans="1:7" ht="140.25" customHeight="1" x14ac:dyDescent="0.2">
      <c r="A134" s="53" t="s">
        <v>169</v>
      </c>
      <c r="B134" s="52" t="s">
        <v>168</v>
      </c>
      <c r="C134" s="51" t="s">
        <v>85</v>
      </c>
      <c r="D134" s="51">
        <v>1</v>
      </c>
      <c r="E134" s="51" t="s">
        <v>167</v>
      </c>
      <c r="F134" s="51" t="s">
        <v>166</v>
      </c>
      <c r="G134" s="50">
        <f>ROUND(120  * 1 * 0.5,0)</f>
        <v>60</v>
      </c>
    </row>
    <row r="135" spans="1:7" ht="15.75" customHeight="1" x14ac:dyDescent="0.2">
      <c r="A135" s="49" t="s">
        <v>15</v>
      </c>
      <c r="B135" s="48" t="s">
        <v>76</v>
      </c>
      <c r="C135" s="48"/>
      <c r="D135" s="48"/>
      <c r="E135" s="48"/>
      <c r="F135" s="48"/>
      <c r="G135" s="47"/>
    </row>
    <row r="136" spans="1:7" ht="12.75" customHeight="1" x14ac:dyDescent="0.2">
      <c r="A136" s="44" t="s">
        <v>15</v>
      </c>
      <c r="B136" s="46" t="s">
        <v>75</v>
      </c>
      <c r="C136" s="46"/>
      <c r="D136" s="46"/>
      <c r="E136" s="46"/>
      <c r="F136" s="46"/>
      <c r="G136" s="45"/>
    </row>
    <row r="137" spans="1:7" ht="12.75" customHeight="1" x14ac:dyDescent="0.2">
      <c r="A137" s="44" t="s">
        <v>15</v>
      </c>
      <c r="B137" s="46" t="s">
        <v>74</v>
      </c>
      <c r="C137" s="46"/>
      <c r="D137" s="46"/>
      <c r="E137" s="46" t="s">
        <v>82</v>
      </c>
      <c r="F137" s="46"/>
      <c r="G137" s="45"/>
    </row>
    <row r="138" spans="1:7" ht="38.25" customHeight="1" x14ac:dyDescent="0.2">
      <c r="A138" s="44" t="s">
        <v>15</v>
      </c>
      <c r="B138" s="46" t="s">
        <v>72</v>
      </c>
      <c r="C138" s="46"/>
      <c r="D138" s="46"/>
      <c r="E138" s="46" t="s">
        <v>165</v>
      </c>
      <c r="F138" s="46"/>
      <c r="G138" s="45"/>
    </row>
    <row r="139" spans="1:7" ht="12.75" customHeight="1" x14ac:dyDescent="0.2">
      <c r="A139" s="39" t="s">
        <v>15</v>
      </c>
      <c r="B139" s="41"/>
      <c r="C139" s="41"/>
      <c r="D139" s="41"/>
      <c r="E139" s="41"/>
      <c r="F139" s="41"/>
      <c r="G139" s="40"/>
    </row>
    <row r="140" spans="1:7" ht="25.5" customHeight="1" x14ac:dyDescent="0.2">
      <c r="A140" s="39" t="s">
        <v>164</v>
      </c>
      <c r="B140" s="38" t="s">
        <v>65</v>
      </c>
      <c r="C140" s="38"/>
      <c r="D140" s="38"/>
      <c r="E140" s="38"/>
      <c r="F140" s="38"/>
      <c r="G140" s="37">
        <f>ROUND((SUM($G$98:$G$134)),0)</f>
        <v>724</v>
      </c>
    </row>
    <row r="141" spans="1:7" ht="25.5" customHeight="1" x14ac:dyDescent="0.2">
      <c r="A141" s="31" t="s">
        <v>163</v>
      </c>
      <c r="B141" s="30" t="s">
        <v>63</v>
      </c>
      <c r="C141" s="30"/>
      <c r="D141" s="30"/>
      <c r="E141" s="30"/>
      <c r="F141" s="30"/>
      <c r="G141" s="35">
        <f>ROUND(($G$140),0)</f>
        <v>724</v>
      </c>
    </row>
    <row r="142" spans="1:7" ht="12.75" customHeight="1" x14ac:dyDescent="0.2">
      <c r="A142" s="31" t="s">
        <v>23</v>
      </c>
      <c r="B142" s="30" t="s">
        <v>62</v>
      </c>
      <c r="C142" s="30"/>
      <c r="D142" s="30"/>
      <c r="E142" s="30" t="s">
        <v>61</v>
      </c>
      <c r="F142" s="30"/>
      <c r="G142" s="36"/>
    </row>
    <row r="143" spans="1:7" ht="76.5" customHeight="1" x14ac:dyDescent="0.2">
      <c r="A143" s="31" t="s">
        <v>162</v>
      </c>
      <c r="B143" s="33" t="s">
        <v>161</v>
      </c>
      <c r="C143" s="33"/>
      <c r="D143" s="33"/>
      <c r="E143" s="33" t="s">
        <v>160</v>
      </c>
      <c r="F143" s="33" t="s">
        <v>159</v>
      </c>
      <c r="G143" s="34">
        <f>ROUND(3458 * 13.75 / 100 * 1,0)</f>
        <v>475</v>
      </c>
    </row>
    <row r="144" spans="1:7" ht="76.5" customHeight="1" x14ac:dyDescent="0.2">
      <c r="A144" s="31" t="s">
        <v>158</v>
      </c>
      <c r="B144" s="33" t="s">
        <v>157</v>
      </c>
      <c r="C144" s="33"/>
      <c r="D144" s="33"/>
      <c r="E144" s="33" t="s">
        <v>156</v>
      </c>
      <c r="F144" s="33" t="s">
        <v>155</v>
      </c>
      <c r="G144" s="34">
        <f>ROUND(3933 * 14 / 100 * 1,0)</f>
        <v>551</v>
      </c>
    </row>
    <row r="145" spans="1:7" ht="102" customHeight="1" x14ac:dyDescent="0.2">
      <c r="A145" s="31" t="s">
        <v>154</v>
      </c>
      <c r="B145" s="33" t="s">
        <v>153</v>
      </c>
      <c r="C145" s="33"/>
      <c r="D145" s="33"/>
      <c r="E145" s="33" t="s">
        <v>152</v>
      </c>
      <c r="F145" s="33" t="s">
        <v>151</v>
      </c>
      <c r="G145" s="34">
        <f>ROUND(($G$64 + $G$143) * 6 / 100 * 1,0)</f>
        <v>236</v>
      </c>
    </row>
    <row r="146" spans="1:7" ht="12.75" customHeight="1" x14ac:dyDescent="0.2">
      <c r="A146" s="31" t="s">
        <v>150</v>
      </c>
      <c r="B146" s="30" t="s">
        <v>47</v>
      </c>
      <c r="C146" s="30"/>
      <c r="D146" s="30"/>
      <c r="E146" s="30"/>
      <c r="F146" s="30"/>
      <c r="G146" s="35">
        <f>ROUND((SUM($G$143:$G$145)),0)</f>
        <v>1262</v>
      </c>
    </row>
    <row r="147" spans="1:7" ht="12.75" customHeight="1" x14ac:dyDescent="0.2">
      <c r="A147" s="31" t="s">
        <v>25</v>
      </c>
      <c r="B147" s="30" t="s">
        <v>46</v>
      </c>
      <c r="C147" s="30"/>
      <c r="D147" s="30"/>
      <c r="E147" s="30"/>
      <c r="F147" s="30"/>
      <c r="G147" s="35">
        <f>ROUND(($G$64 + $G$96 + $G$141 + $G$146),0)</f>
        <v>6525</v>
      </c>
    </row>
    <row r="148" spans="1:7" ht="51" customHeight="1" x14ac:dyDescent="0.2">
      <c r="A148" s="31" t="s">
        <v>42</v>
      </c>
      <c r="B148" s="33" t="s">
        <v>149</v>
      </c>
      <c r="C148" s="33"/>
      <c r="D148" s="33"/>
      <c r="E148" s="33" t="s">
        <v>148</v>
      </c>
      <c r="F148" s="33" t="s">
        <v>147</v>
      </c>
      <c r="G148" s="34">
        <f>ROUND(($G$147) * 62.19 * 1,0)</f>
        <v>405790</v>
      </c>
    </row>
    <row r="149" spans="1:7" ht="63.75" customHeight="1" x14ac:dyDescent="0.2">
      <c r="A149" s="31" t="s">
        <v>38</v>
      </c>
      <c r="B149" s="33" t="s">
        <v>41</v>
      </c>
      <c r="C149" s="33"/>
      <c r="D149" s="33"/>
      <c r="E149" s="33" t="s">
        <v>146</v>
      </c>
      <c r="F149" s="33" t="s">
        <v>145</v>
      </c>
      <c r="G149" s="34">
        <f>ROUND(($G$148) * 1.075 * 1,0)</f>
        <v>436224</v>
      </c>
    </row>
    <row r="150" spans="1:7" ht="12.75" customHeight="1" x14ac:dyDescent="0.2">
      <c r="A150" s="31" t="s">
        <v>35</v>
      </c>
      <c r="B150" s="33" t="s">
        <v>37</v>
      </c>
      <c r="C150" s="33"/>
      <c r="D150" s="33"/>
      <c r="E150" s="33"/>
      <c r="F150" s="33" t="s">
        <v>144</v>
      </c>
      <c r="G150" s="34">
        <f>ROUND(($G$149),0)</f>
        <v>436224</v>
      </c>
    </row>
    <row r="151" spans="1:7" ht="12.75" customHeight="1" x14ac:dyDescent="0.2">
      <c r="A151" s="31" t="s">
        <v>32</v>
      </c>
      <c r="B151" s="33" t="s">
        <v>34</v>
      </c>
      <c r="C151" s="33"/>
      <c r="D151" s="33"/>
      <c r="E151" s="33"/>
      <c r="F151" s="33" t="s">
        <v>143</v>
      </c>
      <c r="G151" s="32">
        <f>ROUND(($G$150) * 20 / 100 * 1,2)</f>
        <v>87244.800000000003</v>
      </c>
    </row>
    <row r="152" spans="1:7" ht="12.75" customHeight="1" x14ac:dyDescent="0.2">
      <c r="A152" s="31" t="s">
        <v>142</v>
      </c>
      <c r="B152" s="30" t="s">
        <v>31</v>
      </c>
      <c r="C152" s="30"/>
      <c r="D152" s="30"/>
      <c r="E152" s="30"/>
      <c r="F152" s="30"/>
      <c r="G152" s="29">
        <f>ROUND((SUM($G$150:$G$151)),2)</f>
        <v>523468.79999999999</v>
      </c>
    </row>
    <row r="153" spans="1:7" ht="12.75" customHeight="1" x14ac:dyDescent="0.2"/>
    <row r="158" spans="1:7" x14ac:dyDescent="0.2">
      <c r="A158" s="97"/>
      <c r="B158" s="126"/>
      <c r="C158" s="126"/>
      <c r="D158" s="126"/>
      <c r="E158" s="3"/>
      <c r="F158" s="98"/>
      <c r="G158" s="4"/>
    </row>
    <row r="159" spans="1:7" ht="12.75" customHeight="1" x14ac:dyDescent="0.2">
      <c r="A159" s="119"/>
      <c r="B159" s="119"/>
      <c r="C159" s="119"/>
      <c r="D159" s="119"/>
      <c r="E159" s="100"/>
      <c r="F159" s="99"/>
      <c r="G159" s="101"/>
    </row>
    <row r="160" spans="1:7" x14ac:dyDescent="0.2">
      <c r="F160" s="102"/>
      <c r="G160" s="27"/>
    </row>
    <row r="161" spans="1:8" s="73" customFormat="1" x14ac:dyDescent="0.2">
      <c r="A161" s="28"/>
      <c r="B161" s="97"/>
      <c r="C161" s="126"/>
      <c r="D161" s="126"/>
      <c r="E161" s="28"/>
      <c r="F161" s="103"/>
      <c r="G161" s="103"/>
      <c r="H161" s="103"/>
    </row>
    <row r="162" spans="1:8" s="73" customFormat="1" ht="12.75" customHeight="1" x14ac:dyDescent="0.2">
      <c r="A162" s="28"/>
      <c r="B162" s="119"/>
      <c r="C162" s="119"/>
      <c r="D162" s="119"/>
      <c r="E162" s="104"/>
      <c r="F162" s="99"/>
      <c r="G162" s="101"/>
      <c r="H162" s="101"/>
    </row>
    <row r="163" spans="1:8" s="73" customFormat="1" x14ac:dyDescent="0.2">
      <c r="A163" s="28"/>
      <c r="B163"/>
      <c r="C163"/>
      <c r="D163"/>
      <c r="E163" s="28"/>
      <c r="F163" s="103"/>
      <c r="G163" s="103"/>
      <c r="H163" s="103"/>
    </row>
    <row r="164" spans="1:8" s="73" customFormat="1" ht="15.75" customHeight="1" x14ac:dyDescent="0.2">
      <c r="A164" s="28"/>
      <c r="B164" s="97"/>
      <c r="C164" s="126"/>
      <c r="D164" s="126"/>
      <c r="E164" s="28"/>
      <c r="F164" s="103"/>
      <c r="G164" s="103"/>
      <c r="H164" s="103"/>
    </row>
    <row r="165" spans="1:8" s="73" customFormat="1" ht="24.75" customHeight="1" x14ac:dyDescent="0.2">
      <c r="A165" s="28"/>
      <c r="B165" s="119"/>
      <c r="C165" s="119"/>
      <c r="D165" s="119"/>
      <c r="E165" s="104"/>
      <c r="F165" s="105"/>
      <c r="G165" s="62"/>
      <c r="H165" s="62"/>
    </row>
  </sheetData>
  <mergeCells count="33">
    <mergeCell ref="B165:D165"/>
    <mergeCell ref="E73:E74"/>
    <mergeCell ref="B158:D158"/>
    <mergeCell ref="A159:D159"/>
    <mergeCell ref="C161:D161"/>
    <mergeCell ref="B162:D162"/>
    <mergeCell ref="C164:D164"/>
    <mergeCell ref="D126:D127"/>
    <mergeCell ref="E126:E127"/>
    <mergeCell ref="A126:A127"/>
    <mergeCell ref="B126:B127"/>
    <mergeCell ref="C126:C127"/>
    <mergeCell ref="F126:F127"/>
    <mergeCell ref="G126:G127"/>
    <mergeCell ref="A73:A74"/>
    <mergeCell ref="B73:B74"/>
    <mergeCell ref="C73:C74"/>
    <mergeCell ref="D73:D74"/>
    <mergeCell ref="A1:B1"/>
    <mergeCell ref="F73:F74"/>
    <mergeCell ref="G73:G74"/>
    <mergeCell ref="D9:G9"/>
    <mergeCell ref="A15:G15"/>
    <mergeCell ref="C1:G1"/>
    <mergeCell ref="B4:F4"/>
    <mergeCell ref="B5:F5"/>
    <mergeCell ref="A13:C13"/>
    <mergeCell ref="A7:C7"/>
    <mergeCell ref="D7:G7"/>
    <mergeCell ref="A9:C9"/>
    <mergeCell ref="D11:G12"/>
    <mergeCell ref="D13:G14"/>
    <mergeCell ref="A11:C11"/>
  </mergeCells>
  <pageMargins left="0.39374999999999999" right="0.39374999999999999" top="0.59027777777777779" bottom="0.82777777777777783" header="0.51180555555555562" footer="0.59027777777777779"/>
  <pageSetup paperSize="9" scale="99" orientation="portrait" useFirstPageNumber="1" horizontalDpi="300" verticalDpi="300" r:id="rId1"/>
  <headerFooter alignWithMargins="0">
    <oddFooter>&amp;CСтраница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J52"/>
  <sheetViews>
    <sheetView topLeftCell="A13" zoomScaleNormal="100" workbookViewId="0">
      <selection activeCell="C44" sqref="A44:H54"/>
    </sheetView>
  </sheetViews>
  <sheetFormatPr defaultColWidth="11.5703125" defaultRowHeight="12.95" customHeight="1" x14ac:dyDescent="0.2"/>
  <cols>
    <col min="1" max="1" width="11" style="28" customWidth="1"/>
    <col min="2" max="2" width="18.7109375" style="28" customWidth="1"/>
    <col min="3" max="3" width="12" style="28" customWidth="1"/>
    <col min="4" max="4" width="16.28515625" style="28" customWidth="1"/>
    <col min="5" max="5" width="18" style="28" customWidth="1"/>
    <col min="6" max="6" width="12.5703125" style="73" customWidth="1"/>
    <col min="7" max="7" width="12.7109375" style="73" customWidth="1"/>
    <col min="8" max="8" width="12.85546875" style="73" customWidth="1"/>
    <col min="9" max="9" width="11.5703125" style="73"/>
    <col min="10" max="10" width="14" style="73" customWidth="1"/>
    <col min="11" max="16384" width="11.5703125" style="73"/>
  </cols>
  <sheetData>
    <row r="1" spans="1:10" ht="34.5" customHeight="1" x14ac:dyDescent="0.2">
      <c r="A1" s="166"/>
      <c r="B1" s="134"/>
      <c r="C1" s="143"/>
      <c r="D1" s="143"/>
      <c r="E1" s="143"/>
      <c r="F1" s="143"/>
      <c r="G1" s="143"/>
      <c r="H1" s="143"/>
      <c r="I1" s="143"/>
      <c r="J1" s="143"/>
    </row>
    <row r="2" spans="1:10" s="69" customFormat="1" ht="12.75" x14ac:dyDescent="0.2">
      <c r="A2" s="96"/>
      <c r="B2" s="95"/>
      <c r="C2" s="70"/>
      <c r="D2" s="70"/>
      <c r="E2" s="70"/>
      <c r="F2" s="70"/>
      <c r="G2" s="70"/>
      <c r="H2" s="70"/>
      <c r="I2" s="70"/>
      <c r="J2" s="70"/>
    </row>
    <row r="3" spans="1:10" s="69" customFormat="1" ht="12.75" x14ac:dyDescent="0.2">
      <c r="A3" s="96"/>
      <c r="B3" s="95"/>
      <c r="C3" s="70"/>
      <c r="D3" s="70"/>
      <c r="E3" s="70"/>
      <c r="F3" s="70"/>
      <c r="G3" s="70"/>
      <c r="H3" s="70"/>
      <c r="I3" s="70"/>
      <c r="J3" s="70"/>
    </row>
    <row r="4" spans="1:10" ht="13.35" customHeight="1" x14ac:dyDescent="0.2">
      <c r="B4" s="144" t="s">
        <v>283</v>
      </c>
      <c r="C4" s="144"/>
      <c r="D4" s="144"/>
      <c r="E4" s="144"/>
      <c r="F4" s="144"/>
      <c r="G4" s="144"/>
      <c r="H4" s="144"/>
      <c r="I4" s="144"/>
      <c r="J4" s="144"/>
    </row>
    <row r="5" spans="1:10" ht="13.35" customHeight="1" x14ac:dyDescent="0.2">
      <c r="B5" s="144" t="s">
        <v>282</v>
      </c>
      <c r="C5" s="144"/>
      <c r="D5" s="144"/>
      <c r="E5" s="144"/>
      <c r="F5" s="144"/>
      <c r="G5" s="144"/>
      <c r="H5" s="144"/>
      <c r="I5" s="144"/>
      <c r="J5" s="144"/>
    </row>
    <row r="6" spans="1:10" ht="12.95" customHeight="1" x14ac:dyDescent="0.2">
      <c r="C6" s="94"/>
    </row>
    <row r="7" spans="1:10" ht="12.75" x14ac:dyDescent="0.2">
      <c r="A7" s="146" t="s">
        <v>22</v>
      </c>
      <c r="B7" s="146"/>
      <c r="C7" s="146"/>
      <c r="D7" s="146"/>
      <c r="E7" s="146"/>
      <c r="F7" s="146"/>
      <c r="G7" s="146"/>
      <c r="H7" s="146"/>
      <c r="I7" s="146"/>
      <c r="J7" s="146"/>
    </row>
    <row r="8" spans="1:10" ht="14.85" hidden="1" customHeight="1" x14ac:dyDescent="0.2">
      <c r="A8" s="93"/>
      <c r="B8" s="93"/>
      <c r="C8" s="93"/>
      <c r="D8" s="93"/>
      <c r="E8" s="93"/>
      <c r="F8" s="93"/>
      <c r="G8" s="93"/>
    </row>
    <row r="9" spans="1:10" ht="12.95" customHeight="1" x14ac:dyDescent="0.2">
      <c r="A9" s="73"/>
      <c r="B9" s="73"/>
      <c r="C9" s="73"/>
      <c r="D9" s="73"/>
      <c r="E9" s="73"/>
    </row>
    <row r="10" spans="1:10" ht="12.75" customHeight="1" x14ac:dyDescent="0.2">
      <c r="A10" s="173" t="s">
        <v>245</v>
      </c>
      <c r="B10" s="173"/>
      <c r="C10" s="147"/>
      <c r="D10" s="147"/>
      <c r="E10" s="147"/>
      <c r="F10" s="147"/>
      <c r="G10" s="147"/>
      <c r="H10" s="147"/>
      <c r="I10" s="147"/>
      <c r="J10" s="147"/>
    </row>
    <row r="12" spans="1:10" ht="12.75" customHeight="1" x14ac:dyDescent="0.2">
      <c r="A12" s="173" t="s">
        <v>281</v>
      </c>
      <c r="B12" s="173"/>
      <c r="C12" s="147"/>
      <c r="D12" s="147"/>
      <c r="E12" s="147"/>
      <c r="F12" s="147"/>
      <c r="G12" s="147"/>
      <c r="H12" s="147"/>
      <c r="I12" s="147"/>
      <c r="J12" s="147"/>
    </row>
    <row r="13" spans="1:10" ht="12.75" x14ac:dyDescent="0.2">
      <c r="A13" s="84"/>
      <c r="B13" s="84"/>
      <c r="C13" s="85"/>
      <c r="D13" s="84"/>
      <c r="E13" s="84"/>
    </row>
    <row r="14" spans="1:10" ht="12.75" x14ac:dyDescent="0.2">
      <c r="A14" s="161" t="s">
        <v>280</v>
      </c>
      <c r="B14" s="161"/>
      <c r="C14" s="161"/>
      <c r="D14" s="161"/>
      <c r="E14" s="161"/>
      <c r="F14" s="161"/>
      <c r="G14" s="161"/>
      <c r="H14" s="161"/>
      <c r="I14" s="161"/>
      <c r="J14" s="161"/>
    </row>
    <row r="15" spans="1:10" ht="12.75" x14ac:dyDescent="0.2">
      <c r="A15" s="84"/>
      <c r="B15" s="84"/>
      <c r="C15" s="85"/>
      <c r="D15" s="84"/>
      <c r="E15" s="84"/>
    </row>
    <row r="16" spans="1:10" ht="13.35" customHeight="1" x14ac:dyDescent="0.2">
      <c r="A16" s="84"/>
      <c r="B16" s="144" t="s">
        <v>279</v>
      </c>
      <c r="C16" s="144"/>
      <c r="D16" s="144"/>
      <c r="E16" s="144"/>
      <c r="F16" s="144"/>
      <c r="G16" s="144"/>
      <c r="H16" s="144"/>
      <c r="I16" s="144"/>
      <c r="J16" s="144"/>
    </row>
    <row r="17" spans="1:10" ht="13.35" customHeight="1" x14ac:dyDescent="0.2">
      <c r="A17" s="84"/>
      <c r="B17" s="174" t="s">
        <v>278</v>
      </c>
      <c r="C17" s="174"/>
      <c r="D17" s="174"/>
      <c r="E17" s="174"/>
      <c r="F17" s="174"/>
      <c r="G17" s="174"/>
      <c r="H17" s="174"/>
      <c r="I17" s="174"/>
      <c r="J17" s="174"/>
    </row>
    <row r="19" spans="1:10" ht="89.25" x14ac:dyDescent="0.2">
      <c r="A19" s="79" t="s">
        <v>277</v>
      </c>
      <c r="B19" s="151" t="s">
        <v>276</v>
      </c>
      <c r="C19" s="152"/>
      <c r="D19" s="79" t="s">
        <v>275</v>
      </c>
      <c r="E19" s="79" t="s">
        <v>274</v>
      </c>
      <c r="F19" s="79" t="s">
        <v>273</v>
      </c>
      <c r="G19" s="159" t="s">
        <v>272</v>
      </c>
      <c r="H19" s="160"/>
      <c r="I19" s="159" t="s">
        <v>271</v>
      </c>
      <c r="J19" s="160"/>
    </row>
    <row r="20" spans="1:10" ht="13.35" customHeight="1" x14ac:dyDescent="0.2">
      <c r="A20" s="92">
        <v>1</v>
      </c>
      <c r="B20" s="162">
        <v>2</v>
      </c>
      <c r="C20" s="163"/>
      <c r="D20" s="92">
        <v>3</v>
      </c>
      <c r="E20" s="92">
        <v>4</v>
      </c>
      <c r="F20" s="92">
        <v>5</v>
      </c>
      <c r="G20" s="162">
        <v>6</v>
      </c>
      <c r="H20" s="163"/>
      <c r="I20" s="164">
        <v>7</v>
      </c>
      <c r="J20" s="165"/>
    </row>
    <row r="21" spans="1:10" ht="38.25" customHeight="1" x14ac:dyDescent="0.2">
      <c r="A21" s="80">
        <v>1</v>
      </c>
      <c r="B21" s="151" t="s">
        <v>270</v>
      </c>
      <c r="C21" s="152"/>
      <c r="D21" s="80">
        <v>1</v>
      </c>
      <c r="E21" s="80"/>
      <c r="F21" s="80">
        <v>1</v>
      </c>
      <c r="G21" s="151" t="s">
        <v>269</v>
      </c>
      <c r="H21" s="152"/>
      <c r="I21" s="153">
        <v>4.7E-2</v>
      </c>
      <c r="J21" s="154"/>
    </row>
    <row r="22" spans="1:10" ht="51" customHeight="1" x14ac:dyDescent="0.2">
      <c r="A22" s="80">
        <v>2</v>
      </c>
      <c r="B22" s="151" t="s">
        <v>268</v>
      </c>
      <c r="C22" s="152"/>
      <c r="D22" s="80">
        <v>28</v>
      </c>
      <c r="E22" s="80"/>
      <c r="F22" s="80">
        <v>2</v>
      </c>
      <c r="G22" s="151">
        <v>1</v>
      </c>
      <c r="H22" s="152"/>
      <c r="I22" s="153">
        <v>2</v>
      </c>
      <c r="J22" s="154"/>
    </row>
    <row r="23" spans="1:10" ht="38.1" customHeight="1" x14ac:dyDescent="0.2">
      <c r="A23" s="91"/>
      <c r="B23" s="167" t="s">
        <v>267</v>
      </c>
      <c r="C23" s="168"/>
      <c r="D23" s="90"/>
      <c r="E23" s="90">
        <v>28</v>
      </c>
      <c r="F23" s="89">
        <v>3</v>
      </c>
      <c r="G23" s="169"/>
      <c r="H23" s="170"/>
      <c r="I23" s="171">
        <v>0.68200000000000005</v>
      </c>
      <c r="J23" s="172"/>
    </row>
    <row r="24" spans="1:10" ht="12.95" customHeight="1" x14ac:dyDescent="0.2">
      <c r="A24" s="84"/>
      <c r="B24" s="84"/>
      <c r="C24" s="84"/>
      <c r="D24" s="88"/>
      <c r="E24" s="87"/>
    </row>
    <row r="25" spans="1:10" ht="13.35" customHeight="1" x14ac:dyDescent="0.2">
      <c r="A25" s="84"/>
      <c r="B25" s="144" t="s">
        <v>266</v>
      </c>
      <c r="C25" s="144"/>
      <c r="D25" s="144"/>
      <c r="E25" s="144"/>
      <c r="F25" s="144"/>
      <c r="G25" s="144"/>
      <c r="H25" s="144"/>
      <c r="I25" s="144"/>
      <c r="J25" s="144"/>
    </row>
    <row r="26" spans="1:10" ht="13.35" customHeight="1" x14ac:dyDescent="0.2">
      <c r="A26" s="84"/>
      <c r="B26" s="144" t="s">
        <v>265</v>
      </c>
      <c r="C26" s="144"/>
      <c r="D26" s="144"/>
      <c r="E26" s="144"/>
      <c r="F26" s="144"/>
      <c r="G26" s="144"/>
      <c r="H26" s="144"/>
      <c r="I26" s="144"/>
      <c r="J26" s="144"/>
    </row>
    <row r="27" spans="1:10" ht="12.95" customHeight="1" x14ac:dyDescent="0.2">
      <c r="A27" s="84"/>
      <c r="B27" s="86"/>
      <c r="C27" s="85"/>
      <c r="D27" s="84"/>
      <c r="E27" s="84"/>
    </row>
    <row r="28" spans="1:10" s="82" customFormat="1" ht="89.25" x14ac:dyDescent="0.2">
      <c r="A28" s="83" t="s">
        <v>264</v>
      </c>
      <c r="B28" s="83" t="s">
        <v>263</v>
      </c>
      <c r="C28" s="83" t="s">
        <v>262</v>
      </c>
      <c r="D28" s="83" t="s">
        <v>261</v>
      </c>
      <c r="E28" s="83" t="s">
        <v>260</v>
      </c>
      <c r="F28" s="79" t="s">
        <v>259</v>
      </c>
      <c r="G28" s="79" t="s">
        <v>258</v>
      </c>
      <c r="H28" s="79" t="s">
        <v>257</v>
      </c>
      <c r="I28" s="79" t="s">
        <v>256</v>
      </c>
      <c r="J28" s="79" t="s">
        <v>255</v>
      </c>
    </row>
    <row r="29" spans="1:10" ht="12.75" x14ac:dyDescent="0.2">
      <c r="A29" s="58">
        <v>1</v>
      </c>
      <c r="B29" s="58">
        <v>2</v>
      </c>
      <c r="C29" s="58">
        <v>3</v>
      </c>
      <c r="D29" s="58">
        <v>4</v>
      </c>
      <c r="E29" s="58">
        <v>5</v>
      </c>
      <c r="F29" s="58">
        <v>6</v>
      </c>
      <c r="G29" s="58">
        <v>7</v>
      </c>
      <c r="H29" s="58">
        <v>8</v>
      </c>
      <c r="I29" s="58">
        <v>9</v>
      </c>
      <c r="J29" s="58">
        <v>10</v>
      </c>
    </row>
    <row r="30" spans="1:10" ht="25.35" customHeight="1" x14ac:dyDescent="0.2">
      <c r="A30" s="81" t="s">
        <v>254</v>
      </c>
      <c r="B30" s="80">
        <v>21</v>
      </c>
      <c r="C30" s="81" t="s">
        <v>253</v>
      </c>
      <c r="D30" s="79">
        <v>40</v>
      </c>
      <c r="E30" s="80">
        <v>10</v>
      </c>
      <c r="F30" s="81">
        <v>12348.96</v>
      </c>
      <c r="G30" s="80">
        <v>28</v>
      </c>
      <c r="H30" s="79">
        <v>3</v>
      </c>
      <c r="I30" s="79">
        <v>0.68200000000000005</v>
      </c>
      <c r="J30" s="78">
        <v>707447</v>
      </c>
    </row>
    <row r="31" spans="1:10" ht="12.95" customHeight="1" x14ac:dyDescent="0.2">
      <c r="A31" s="155" t="s">
        <v>252</v>
      </c>
      <c r="B31" s="156"/>
      <c r="C31" s="156"/>
      <c r="D31" s="156"/>
      <c r="E31" s="156"/>
      <c r="F31" s="156"/>
      <c r="G31" s="156"/>
      <c r="H31" s="156"/>
      <c r="I31" s="156"/>
      <c r="J31" s="156"/>
    </row>
    <row r="33" spans="1:10" s="77" customFormat="1" ht="24.95" customHeight="1" x14ac:dyDescent="0.2">
      <c r="A33" s="157" t="s">
        <v>251</v>
      </c>
      <c r="B33" s="157"/>
      <c r="C33" s="157"/>
      <c r="D33" s="157"/>
      <c r="E33" s="157"/>
      <c r="F33" s="157"/>
      <c r="H33" s="158">
        <v>707447</v>
      </c>
      <c r="I33" s="158"/>
      <c r="J33" s="77" t="s">
        <v>249</v>
      </c>
    </row>
    <row r="35" spans="1:10" s="28" customFormat="1" ht="25.5" customHeight="1" x14ac:dyDescent="0.2">
      <c r="A35" s="149" t="s">
        <v>250</v>
      </c>
      <c r="B35" s="149"/>
      <c r="C35" s="149"/>
      <c r="D35" s="149"/>
      <c r="E35" s="149"/>
      <c r="F35" s="149"/>
      <c r="H35" s="150">
        <v>141489.4</v>
      </c>
      <c r="I35" s="150"/>
      <c r="J35" s="76" t="s">
        <v>249</v>
      </c>
    </row>
    <row r="37" spans="1:10" s="72" customFormat="1" ht="24.95" customHeight="1" x14ac:dyDescent="0.2">
      <c r="A37" s="134" t="s">
        <v>30</v>
      </c>
      <c r="B37" s="134"/>
      <c r="C37" s="134" t="s">
        <v>248</v>
      </c>
      <c r="D37" s="134"/>
      <c r="E37" s="134"/>
      <c r="F37" s="134"/>
      <c r="G37" s="134"/>
      <c r="H37" s="134"/>
      <c r="I37" s="134"/>
      <c r="J37" s="134"/>
    </row>
    <row r="38" spans="1:10" s="72" customFormat="1" ht="24.95" customHeight="1" x14ac:dyDescent="0.2">
      <c r="A38" s="134" t="s">
        <v>29</v>
      </c>
      <c r="B38" s="134"/>
      <c r="C38" s="134" t="s">
        <v>247</v>
      </c>
      <c r="D38" s="134"/>
      <c r="E38" s="134"/>
      <c r="F38" s="134"/>
      <c r="G38" s="134"/>
      <c r="H38" s="134"/>
      <c r="I38" s="134"/>
      <c r="J38" s="134"/>
    </row>
    <row r="39" spans="1:10" s="72" customFormat="1" ht="24.95" customHeight="1" x14ac:dyDescent="0.2">
      <c r="A39" s="134" t="s">
        <v>28</v>
      </c>
      <c r="B39" s="134"/>
      <c r="C39" s="134" t="s">
        <v>246</v>
      </c>
      <c r="D39" s="134"/>
      <c r="E39" s="134"/>
      <c r="F39" s="134"/>
      <c r="G39" s="134"/>
      <c r="H39" s="134"/>
      <c r="I39" s="134"/>
      <c r="J39" s="134"/>
    </row>
    <row r="40" spans="1:10" ht="12.95" customHeight="1" x14ac:dyDescent="0.2">
      <c r="D40" s="27"/>
    </row>
    <row r="41" spans="1:10" ht="12.95" customHeight="1" x14ac:dyDescent="0.2">
      <c r="A41" s="75"/>
      <c r="G41" s="74"/>
    </row>
    <row r="42" spans="1:10" ht="12.95" customHeight="1" x14ac:dyDescent="0.2">
      <c r="A42" s="75"/>
      <c r="G42" s="74"/>
    </row>
    <row r="44" spans="1:10" s="27" customFormat="1" ht="12.75" x14ac:dyDescent="0.2">
      <c r="A44" s="28"/>
      <c r="B44" s="28"/>
      <c r="C44" s="28"/>
      <c r="D44" s="28"/>
      <c r="E44" s="28"/>
      <c r="F44" s="28"/>
      <c r="G44" s="28"/>
    </row>
    <row r="45" spans="1:10" s="27" customFormat="1" ht="12.75" x14ac:dyDescent="0.2">
      <c r="A45" s="97"/>
      <c r="B45" s="126"/>
      <c r="C45" s="126"/>
      <c r="D45" s="126"/>
      <c r="E45" s="3"/>
      <c r="F45" s="98"/>
      <c r="G45" s="4"/>
    </row>
    <row r="46" spans="1:10" s="27" customFormat="1" ht="12.75" customHeight="1" x14ac:dyDescent="0.2">
      <c r="A46" s="119"/>
      <c r="B46" s="119"/>
      <c r="C46" s="119"/>
      <c r="D46" s="119"/>
      <c r="E46" s="100"/>
      <c r="F46" s="127"/>
      <c r="G46" s="127"/>
    </row>
    <row r="47" spans="1:10" s="27" customFormat="1" ht="12.75" x14ac:dyDescent="0.2">
      <c r="A47" s="28"/>
      <c r="B47" s="28"/>
      <c r="C47" s="28"/>
      <c r="D47" s="28"/>
      <c r="E47" s="28"/>
      <c r="F47" s="102"/>
      <c r="G47" s="102"/>
    </row>
    <row r="48" spans="1:10" ht="12.75" x14ac:dyDescent="0.2">
      <c r="B48" s="97"/>
      <c r="C48" s="126"/>
      <c r="D48" s="126"/>
      <c r="F48" s="103"/>
      <c r="G48" s="103"/>
      <c r="H48" s="103"/>
    </row>
    <row r="49" spans="2:8" ht="12.75" customHeight="1" x14ac:dyDescent="0.2">
      <c r="B49" s="119"/>
      <c r="C49" s="119"/>
      <c r="D49" s="119"/>
      <c r="E49" s="104"/>
      <c r="F49" s="127"/>
      <c r="G49" s="127"/>
      <c r="H49" s="101"/>
    </row>
    <row r="50" spans="2:8" ht="12.75" x14ac:dyDescent="0.2">
      <c r="B50"/>
      <c r="C50"/>
      <c r="D50"/>
      <c r="F50" s="103"/>
      <c r="G50" s="103"/>
      <c r="H50" s="103"/>
    </row>
    <row r="51" spans="2:8" ht="15.75" customHeight="1" x14ac:dyDescent="0.2">
      <c r="B51" s="97"/>
      <c r="C51" s="126"/>
      <c r="D51" s="126"/>
      <c r="F51" s="103"/>
      <c r="G51" s="103"/>
      <c r="H51" s="103"/>
    </row>
    <row r="52" spans="2:8" ht="24.75" customHeight="1" x14ac:dyDescent="0.2">
      <c r="B52" s="119"/>
      <c r="C52" s="119"/>
      <c r="D52" s="119"/>
      <c r="E52" s="104"/>
      <c r="F52" s="175"/>
      <c r="G52" s="175"/>
      <c r="H52" s="62"/>
    </row>
  </sheetData>
  <mergeCells count="49">
    <mergeCell ref="F49:G49"/>
    <mergeCell ref="F46:G46"/>
    <mergeCell ref="F52:G52"/>
    <mergeCell ref="B45:D45"/>
    <mergeCell ref="A46:D46"/>
    <mergeCell ref="C48:D48"/>
    <mergeCell ref="B49:D49"/>
    <mergeCell ref="C51:D51"/>
    <mergeCell ref="B52:D52"/>
    <mergeCell ref="A1:B1"/>
    <mergeCell ref="B23:C23"/>
    <mergeCell ref="G23:H23"/>
    <mergeCell ref="I23:J23"/>
    <mergeCell ref="B25:J25"/>
    <mergeCell ref="A12:B12"/>
    <mergeCell ref="B4:J4"/>
    <mergeCell ref="B5:J5"/>
    <mergeCell ref="A7:J7"/>
    <mergeCell ref="C1:J1"/>
    <mergeCell ref="A10:B10"/>
    <mergeCell ref="G19:H19"/>
    <mergeCell ref="B17:J17"/>
    <mergeCell ref="C10:J10"/>
    <mergeCell ref="C12:J12"/>
    <mergeCell ref="B21:C21"/>
    <mergeCell ref="G21:H21"/>
    <mergeCell ref="I21:J21"/>
    <mergeCell ref="I19:J19"/>
    <mergeCell ref="A14:J14"/>
    <mergeCell ref="B16:J16"/>
    <mergeCell ref="G20:H20"/>
    <mergeCell ref="B19:C19"/>
    <mergeCell ref="B20:C20"/>
    <mergeCell ref="I20:J20"/>
    <mergeCell ref="B22:C22"/>
    <mergeCell ref="G22:H22"/>
    <mergeCell ref="I22:J22"/>
    <mergeCell ref="A31:J31"/>
    <mergeCell ref="A33:F33"/>
    <mergeCell ref="H33:I33"/>
    <mergeCell ref="B26:J26"/>
    <mergeCell ref="A39:B39"/>
    <mergeCell ref="C39:J39"/>
    <mergeCell ref="A35:F35"/>
    <mergeCell ref="H35:I35"/>
    <mergeCell ref="A37:B37"/>
    <mergeCell ref="C37:J37"/>
    <mergeCell ref="A38:B38"/>
    <mergeCell ref="C38:J38"/>
  </mergeCells>
  <pageMargins left="0.39374999999999999" right="0.39374999999999999" top="0.59027777777777779" bottom="0.82777777777777783" header="0.51180555555555562" footer="0.59027777777777779"/>
  <pageSetup paperSize="9" scale="69" fitToHeight="0" orientation="portrait" useFirstPageNumber="1" horizontalDpi="300" verticalDpi="300" r:id="rId1"/>
  <headerFooter alignWithMargins="0"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Сводная смета</vt:lpstr>
      <vt:lpstr>№1_Геодезически</vt:lpstr>
      <vt:lpstr>№2_Геологически</vt:lpstr>
      <vt:lpstr>№3_Разработка_п</vt:lpstr>
      <vt:lpstr>№1_Геодезически!Заголовки_для_печати</vt:lpstr>
      <vt:lpstr>№2_Геологически!Заголовки_для_печати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Савина Альмира Фаритовна</dc:creator>
  <cp:lastModifiedBy>Сержан Евгения Вячеславовна</cp:lastModifiedBy>
  <cp:lastPrinted>2023-07-25T12:23:50Z</cp:lastPrinted>
  <dcterms:created xsi:type="dcterms:W3CDTF">2009-11-09T11:09:42Z</dcterms:created>
  <dcterms:modified xsi:type="dcterms:W3CDTF">2023-08-18T04:27:18Z</dcterms:modified>
</cp:coreProperties>
</file>