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РСУ\2025 ГОД\КР КОРПУС 5\На котировку\"/>
    </mc:Choice>
  </mc:AlternateContent>
  <bookViews>
    <workbookView xWindow="0" yWindow="0" windowWidth="28800" windowHeight="12435"/>
  </bookViews>
  <sheets>
    <sheet name="Смета контр " sheetId="1" r:id="rId1"/>
    <sheet name="Расчет НМЦК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ColLastYearFB">[1]ФедД!$AH$17</definedName>
    <definedName name="ColLastYearFB1">[2]Управление!$AF$17</definedName>
    <definedName name="ColThisYearFB">[1]ФедД!$AG$17</definedName>
    <definedName name="PeriodLastYearName">[1]ФедД!$AH$20</definedName>
    <definedName name="PeriodThisYearName">[1]ФедД!$AG$20</definedName>
    <definedName name="short">[3]!short</definedName>
    <definedName name="title">'[4]Огл. Графиков'!$B$2:$B$31</definedName>
    <definedName name="Вып_ОФ_с_пц">[4]рабочий!$Y$202:$AP$224</definedName>
    <definedName name="Вып_с_новых_ОФ">[4]рабочий!$Y$277:$AP$299</definedName>
    <definedName name="Выход">[2]Управление!$AF$20</definedName>
    <definedName name="год1">#REF!</definedName>
    <definedName name="График">"Диагр. 4"</definedName>
    <definedName name="Дефл_ц_пред_год">'[4]Текущие цены'!$AT$36:$BK$58</definedName>
    <definedName name="Дефлятор_годовой">'[4]Текущие цены'!$Y$4:$AP$27</definedName>
    <definedName name="Дефлятор_цепной">'[4]Текущие цены'!$Y$36:$AP$58</definedName>
    <definedName name="_xlnm.Print_Titles" localSheetId="0">'Смета контр '!$17:$17</definedName>
    <definedName name="новые_ОФ_2003">[4]рабочий!$F$305:$W$327</definedName>
    <definedName name="новые_ОФ_2004">[4]рабочий!$F$335:$W$357</definedName>
    <definedName name="новые_ОФ_а_всего">[4]рабочий!$F$767:$V$789</definedName>
    <definedName name="новые_ОФ_всего">[4]рабочий!$F$1331:$V$1353</definedName>
    <definedName name="новые_ОФ_п_всего">[4]рабочий!$F$1293:$V$1315</definedName>
    <definedName name="_xlnm.Print_Area" localSheetId="1">'Расчет НМЦК'!$A$1:$F$89</definedName>
    <definedName name="_xlnm.Print_Area" localSheetId="0">'Смета контр '!$A$1:$I$48</definedName>
    <definedName name="окраска_05">[4]окраска!$C$7:$Z$30</definedName>
    <definedName name="окраска_06">[4]окраска!$C$35:$Z$58</definedName>
    <definedName name="окраска_07">[4]окраска!$C$63:$Z$86</definedName>
    <definedName name="окраска_08">[4]окраска!$C$91:$Z$114</definedName>
    <definedName name="окраска_09">[4]окраска!$C$119:$Z$142</definedName>
    <definedName name="окраска_10">[4]окраска!$C$147:$Z$170</definedName>
    <definedName name="окраска_11">[4]окраска!$C$175:$Z$198</definedName>
    <definedName name="окраска_12">[4]окраска!$C$203:$Z$226</definedName>
    <definedName name="окраска_13">[4]окраска!$C$231:$Z$254</definedName>
    <definedName name="окраска_14">[4]окраска!$C$259:$Z$282</definedName>
    <definedName name="окраска_15">[4]окраска!$C$287:$Z$310</definedName>
    <definedName name="ОФ_а_с_пц">[4]рабочий!$CI$121:$CY$143</definedName>
    <definedName name="ПОКАЗАТЕЛИ_ДОЛГОСР.ПРОГНОЗА">'[5]2002(v2)'!#REF!</definedName>
    <definedName name="приб">[2]Управление!$AE$20</definedName>
    <definedName name="прибвб2">[2]Управление!$AF$20</definedName>
    <definedName name="Прогноз_Вып_пц">[4]рабочий!$Y$240:$AP$262</definedName>
    <definedName name="суда">[3]!суда</definedName>
    <definedName name="фо_а_н_пц">[4]рабочий!$AR$240:$BI$263</definedName>
    <definedName name="фо_а_с_пц">[4]рабочий!$AS$202:$BI$224</definedName>
    <definedName name="фо_н_03">[4]рабочий!$X$305:$X$327</definedName>
    <definedName name="фо_н_04">[4]рабочий!$X$335:$X$357</definedName>
    <definedName name="ыяпр">[3]!ыяпр</definedName>
  </definedNames>
  <calcPr calcId="152511"/>
</workbook>
</file>

<file path=xl/calcChain.xml><?xml version="1.0" encoding="utf-8"?>
<calcChain xmlns="http://schemas.openxmlformats.org/spreadsheetml/2006/main">
  <c r="F79" i="3" l="1"/>
  <c r="B69" i="3"/>
  <c r="F78" i="3" s="1"/>
  <c r="F80" i="3" s="1"/>
  <c r="B66" i="3"/>
  <c r="B65" i="3"/>
  <c r="B68" i="3" s="1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C25" i="3"/>
  <c r="C24" i="3"/>
  <c r="B17" i="3"/>
  <c r="B15" i="3"/>
  <c r="B57" i="3" l="1"/>
  <c r="C13" i="3" s="1"/>
  <c r="C14" i="3" s="1"/>
  <c r="F77" i="3"/>
  <c r="F81" i="3" s="1"/>
  <c r="F73" i="3"/>
  <c r="F72" i="3"/>
  <c r="F74" i="3" s="1"/>
  <c r="G37" i="1"/>
  <c r="H39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D14" i="3" l="1"/>
  <c r="D13" i="3"/>
  <c r="D15" i="3" s="1"/>
  <c r="D17" i="3" s="1"/>
  <c r="C16" i="3"/>
  <c r="D16" i="3" s="1"/>
  <c r="F16" i="3" s="1"/>
  <c r="U13" i="3"/>
  <c r="F84" i="3"/>
  <c r="E13" i="3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H37" i="1"/>
  <c r="H36" i="1"/>
  <c r="H35" i="1"/>
  <c r="H34" i="1"/>
  <c r="H32" i="1"/>
  <c r="H31" i="1"/>
  <c r="H30" i="1"/>
  <c r="H28" i="1"/>
  <c r="H27" i="1"/>
  <c r="H26" i="1"/>
  <c r="H25" i="1"/>
  <c r="H24" i="1"/>
  <c r="H22" i="1"/>
  <c r="H21" i="1"/>
  <c r="H20" i="1"/>
  <c r="H19" i="1"/>
  <c r="H23" i="1"/>
  <c r="H29" i="1"/>
  <c r="H33" i="1"/>
  <c r="E14" i="3" l="1"/>
  <c r="E16" i="3"/>
  <c r="F13" i="3"/>
  <c r="T13" i="3"/>
  <c r="F14" i="3"/>
  <c r="H38" i="1"/>
  <c r="H40" i="1" s="1"/>
  <c r="H41" i="1" s="1"/>
  <c r="F15" i="3" l="1"/>
  <c r="F17" i="3" s="1"/>
  <c r="J13" i="3"/>
  <c r="K13" i="3" s="1"/>
  <c r="G13" i="3"/>
  <c r="H13" i="3" s="1"/>
  <c r="I13" i="3" s="1"/>
</calcChain>
</file>

<file path=xl/sharedStrings.xml><?xml version="1.0" encoding="utf-8"?>
<sst xmlns="http://schemas.openxmlformats.org/spreadsheetml/2006/main" count="232" uniqueCount="155">
  <si>
    <t>Приложение № 6</t>
  </si>
  <si>
    <t>Утверждено приказом № 841/пр от 23 декабря 2019 г. Минстроя РФ</t>
  </si>
  <si>
    <t>СОГЛАСОВАНО:</t>
  </si>
  <si>
    <t>УТВЕРЖДАЮ:</t>
  </si>
  <si>
    <t/>
  </si>
  <si>
    <t>"____" ________________ 2025 года</t>
  </si>
  <si>
    <t>Проект сметы контракта</t>
  </si>
  <si>
    <t>(наименование объекта)</t>
  </si>
  <si>
    <t>№п/п</t>
  </si>
  <si>
    <t>Наименование конструктивных решений (элементов), комплексов (видов) работ, оборудования</t>
  </si>
  <si>
    <t>Единица измерения</t>
  </si>
  <si>
    <t>Количество (объем работ)</t>
  </si>
  <si>
    <t>Цена на единицу измерения, без НДС руб.</t>
  </si>
  <si>
    <t>Стоимость всего, руб</t>
  </si>
  <si>
    <t>Страна происхождения оборудования</t>
  </si>
  <si>
    <t xml:space="preserve">Раздел 1. </t>
  </si>
  <si>
    <t>1</t>
  </si>
  <si>
    <t>ЛС ЛС-02-01-01 Поз.: 1-114</t>
  </si>
  <si>
    <t>Демонтажные работы</t>
  </si>
  <si>
    <t>шт</t>
  </si>
  <si>
    <t>ЛС ЛС-02-01-02 Поз.: 1-49</t>
  </si>
  <si>
    <t>Крыша, кровля</t>
  </si>
  <si>
    <t>ЛС ЛС-02-01-03 Поз.: 1-216</t>
  </si>
  <si>
    <t>Конструктивные и обьемно планировочные решения</t>
  </si>
  <si>
    <t>ЛС ЛС-02-01-04 Поз.: 1-358</t>
  </si>
  <si>
    <t>Архитектурные решения</t>
  </si>
  <si>
    <t>ЛС ЛС-02-01-05 Поз.: 1-100</t>
  </si>
  <si>
    <t>Внутренние сети водопровода и канализации</t>
  </si>
  <si>
    <t>ЛС ЛС-02-01-06 Поз.: 1-138</t>
  </si>
  <si>
    <t>Отопление</t>
  </si>
  <si>
    <t>ЛС ЛС-02-01-07 Поз.: 1-136</t>
  </si>
  <si>
    <t>Система электроснабжения</t>
  </si>
  <si>
    <t>ЛС ЛС-02-01-08 Поз.: 1-258</t>
  </si>
  <si>
    <t>Вентиляция и кодиционирование</t>
  </si>
  <si>
    <t>ЛС ЛС-02-01-09 Поз.: 1-39</t>
  </si>
  <si>
    <t>Структурированная кабельная сеть</t>
  </si>
  <si>
    <t>ЛС ЛС-02-01-10 Поз.: 1-63</t>
  </si>
  <si>
    <t>Автоматическая пожарная сигнализация и система оповещения и управления эвакуацией</t>
  </si>
  <si>
    <t>ЛС ЛС-02-01-11 Поз.: 1-75</t>
  </si>
  <si>
    <t>Система охранной сигнализации и система контроля и управления доступом</t>
  </si>
  <si>
    <t>ЛС ЛС-02-01-12 Поз.: 1-62</t>
  </si>
  <si>
    <t>Автоматизация отопления и вентиляции</t>
  </si>
  <si>
    <t>ЛС ЛС-02-01-13 Поз.: 1-41</t>
  </si>
  <si>
    <t>Видеонаблюдение</t>
  </si>
  <si>
    <t>ЛС ЛС-02-01-15 Поз.: 1-100</t>
  </si>
  <si>
    <t>Фасад</t>
  </si>
  <si>
    <t>ЛС ЛС-07-01-01 Поз.: 1-64</t>
  </si>
  <si>
    <t>Благоустройство территории</t>
  </si>
  <si>
    <t>ЛС ЛС-09-01-01 Поз.: 1-6</t>
  </si>
  <si>
    <t>Система электроснабжения. Пусконаладочные  работы</t>
  </si>
  <si>
    <t>ЛС ЛС-09-01-02 Поз.: 1, 2</t>
  </si>
  <si>
    <t>Автоматическая пожарная сигнализация и система оповещения и управления эвакуацией. Пусконаладочные работы</t>
  </si>
  <si>
    <t xml:space="preserve">Итого по разделу 1 </t>
  </si>
  <si>
    <t>Всего с НДС</t>
  </si>
  <si>
    <t>Итого по смете</t>
  </si>
  <si>
    <t>Составил:</t>
  </si>
  <si>
    <t>Проверил:</t>
  </si>
  <si>
    <t>Реставрационные работы</t>
  </si>
  <si>
    <t>Размещение и утилизация строительного мусора на полигоне ТБО</t>
  </si>
  <si>
    <t xml:space="preserve">Капитальный ремонт и сохранение объекта культурного наследия: «Ансамбль Томского Императорского Университета. Гигиенический институт. Кон. XIX в. Арх. П.П. Наранович  </t>
  </si>
  <si>
    <t xml:space="preserve">Расчет начальной (максимальной) цены контракта (НМЦК)
при осуществлении закупок на выполнение подрядных работ
</t>
  </si>
  <si>
    <t>по объекту:</t>
  </si>
  <si>
    <t xml:space="preserve">по адресу:  </t>
  </si>
  <si>
    <t>Томская область, г. Томск, пр. Ленина, 36 стр.31</t>
  </si>
  <si>
    <t>Основания для расчета:</t>
  </si>
  <si>
    <t>1.  Проектная документация,  сводный сметный расчет стоимости объекта</t>
  </si>
  <si>
    <t>2. Положительное заключение о проверке достоверности определения сметной стоимости  ФАУ «Главное управление государственной экспертизы» от 25.03.2024г № 70-1-1-2-013078-2024</t>
  </si>
  <si>
    <t>Наименование работ и затрат</t>
  </si>
  <si>
    <t>Стоимость работ в ценах на дату утверждения сметной документации 
на 1 квартал                       2023 г. (руб)</t>
  </si>
  <si>
    <t>Индекс 
фактической инфляции</t>
  </si>
  <si>
    <t>Индекс прогнозный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</si>
  <si>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</si>
  <si>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с 2 %</t>
  </si>
  <si>
    <t>с 20 %</t>
  </si>
  <si>
    <t>в %%</t>
  </si>
  <si>
    <t>без 2 %</t>
  </si>
  <si>
    <t>Капитальный ремонт здания</t>
  </si>
  <si>
    <t>Сметный расчет СР-1 на размещение и утилизацию строительного мусора на полигоне ТБО</t>
  </si>
  <si>
    <t xml:space="preserve"> -</t>
  </si>
  <si>
    <t>Компенсация НДС - 20% (на материалы, эксплуатацию машин и механизмов (без учета оплаты труда машинистов))</t>
  </si>
  <si>
    <t>Стоимость с учетом компенсации НДС
(НДС не облагается в соответствии с п.п. 15 п. 2 ст. 149 Налогового кодекса Российской Федерации)</t>
  </si>
  <si>
    <t xml:space="preserve">Начало работ -
</t>
  </si>
  <si>
    <t>01 июня 2025г</t>
  </si>
  <si>
    <t>Окончание работ -</t>
  </si>
  <si>
    <t>30 июня 2026г</t>
  </si>
  <si>
    <t>Продолжительность строительства</t>
  </si>
  <si>
    <t xml:space="preserve"> - 13 мес.</t>
  </si>
  <si>
    <t>2025г</t>
  </si>
  <si>
    <t>7 мес</t>
  </si>
  <si>
    <t>2026г</t>
  </si>
  <si>
    <t>Уровень цен:</t>
  </si>
  <si>
    <t xml:space="preserve">на дату утверждения проектной документации - </t>
  </si>
  <si>
    <t xml:space="preserve">1 квартал 2023 г.  </t>
  </si>
  <si>
    <t>на дату определения НМЦК -</t>
  </si>
  <si>
    <t>1. Расчет индекса фактической инфляции с использованием индексов цен Росстата (далее - ИЦР).</t>
  </si>
  <si>
    <t xml:space="preserve">  Для расчета индекса фактической инфляции используется официальная статистическая информация об индексах цен на продукцию (затраты, услуги) инвестиционного назначения по видам экономической деятельности (строительство), опубликованная Федеральной службой государственной статистики 17.03.2025 г., а именно:</t>
  </si>
  <si>
    <t>от 1 кв.2023 г.</t>
  </si>
  <si>
    <t>май 2023г. / апрель 2023 г.</t>
  </si>
  <si>
    <t>июнь 2023г. / май 2023 г.</t>
  </si>
  <si>
    <t>июль 2023г. / июнь 2023 г.</t>
  </si>
  <si>
    <t>август 2023г. / июль 2023 г.</t>
  </si>
  <si>
    <t>сентябрь 2023г. / август 2023 г.</t>
  </si>
  <si>
    <t>октябрь 2023г. / сентябрь 2023 г.</t>
  </si>
  <si>
    <t>ноябрь 2023г. / октябрь 2023 г.</t>
  </si>
  <si>
    <t>декабрь 2023г. / ноябрь 2023 г.</t>
  </si>
  <si>
    <t>январь 2024 г. / декабрь 2023г</t>
  </si>
  <si>
    <t>февраль 2024 г. / январь 2024 г.</t>
  </si>
  <si>
    <t>март 2024 г. / февраль 2024 г.</t>
  </si>
  <si>
    <t>апрель 2024 г. / март 2024 г.</t>
  </si>
  <si>
    <t>май 2024 г. / апрель 2024 г.</t>
  </si>
  <si>
    <t>июнь 2024 г. / май 2024 г.</t>
  </si>
  <si>
    <t>июль 2024 г. / июнь 2024 г.</t>
  </si>
  <si>
    <t>август 2024 г. / июль 2024 г.</t>
  </si>
  <si>
    <t>сентябрь 2024г. / август 2024 г.</t>
  </si>
  <si>
    <t>октябрь 2024г. / сентябрь 2024 г.</t>
  </si>
  <si>
    <t>ноябрь 2024г. / октябрь 2024 г.</t>
  </si>
  <si>
    <t>декабрь 2024г. / ноябрь 2024 г.</t>
  </si>
  <si>
    <t xml:space="preserve"> январь 2025 г / декабрь 2024г.</t>
  </si>
  <si>
    <t>февраль 2025 г / январь 2025 г.</t>
  </si>
  <si>
    <t>Итого индекс фактической инфляции:</t>
  </si>
  <si>
    <t>(100,8/100*100,13/100*101,12/100*101,03/100*100,73/100*100,48/100*100,57/100*99,97/100*100,61/100*100,16/100*100,59/100*100,14/100*100,42/100*100,47/100*100,21/100*100,45/100*100,32/100*100,49/100*100,64/100*100,62/100*100,48/100*100,35/100)</t>
  </si>
  <si>
    <t>2. Расчет индексов прогнозной инфляции</t>
  </si>
  <si>
    <r>
      <t xml:space="preserve">     Для расчета индекса прогнозной инфляции используются</t>
    </r>
    <r>
      <rPr>
        <b/>
        <sz val="11"/>
        <rFont val="Times New Roman"/>
        <family val="1"/>
        <charset val="204"/>
      </rPr>
      <t xml:space="preserve"> индексы-дефляторы, опубликованные Министерством экономического развития Российской Федерации 30.09.2024 г. </t>
    </r>
    <r>
      <rPr>
        <sz val="11"/>
        <rFont val="Times New Roman"/>
        <family val="1"/>
        <charset val="204"/>
      </rPr>
      <t>в Прогнозе социально-экономического развития Российской Федерации на 2025 год и плановый период 2026 - 2027 годов (приложение "Прогноз индексов цен производителей и индексов-дефляторов по видам экономической деятельности (базовый вариант)" по строке "Инвестиции в основной капитал"):</t>
    </r>
  </si>
  <si>
    <t xml:space="preserve">на 2025 г. - </t>
  </si>
  <si>
    <t xml:space="preserve">на 2026 г. - </t>
  </si>
  <si>
    <r>
      <t xml:space="preserve">    Таким образом, </t>
    </r>
    <r>
      <rPr>
        <b/>
        <sz val="11"/>
        <rFont val="Times New Roman"/>
        <family val="1"/>
        <charset val="204"/>
      </rPr>
      <t>индекс прогнозной инфляции, установленный Минэкономразвития в целом на год</t>
    </r>
    <r>
      <rPr>
        <sz val="11"/>
        <rFont val="Times New Roman"/>
        <family val="1"/>
        <charset val="204"/>
      </rPr>
      <t>, составляет:</t>
    </r>
  </si>
  <si>
    <r>
      <rPr>
        <b/>
        <sz val="11"/>
        <rFont val="Times New Roman"/>
        <family val="1"/>
        <charset val="204"/>
      </rPr>
      <t>Индекс прогнознозной инфляции на один месяц</t>
    </r>
    <r>
      <rPr>
        <sz val="11"/>
        <rFont val="Times New Roman"/>
        <family val="1"/>
        <charset val="204"/>
      </rPr>
      <t xml:space="preserve"> (ежемесячный)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рассчитывается путем извлечения корня двенадцатой степени индекса прогнозной  инфляции   Минэкономразвития России, установленного в целом на год </t>
    </r>
  </si>
  <si>
    <t xml:space="preserve">на 2025 г.- </t>
  </si>
  <si>
    <t xml:space="preserve">на 2026 г.- </t>
  </si>
  <si>
    <t>В связи с тем, что работы по капитальному ремонту объекта будут выполняться в 2025 -2026 годах, индекс прогнозный инфляции рассчитывается на каждый период выполнения работ.</t>
  </si>
  <si>
    <t>На 2025 год индекс прогнозной инфляции рассчитывается как среднее арифметическое между датой начала и датой окончания работ в 2025 г.</t>
  </si>
  <si>
    <t>Индекс прогнозной инфляции на дату начала выполнения работ в 2025 году рассчитывается как ежемесячный индекс прогнозной инфляции (1.0063) в первой степени. 
справочно: 
для определения размера индекса прогнозной инфляции на дату начала выполнения работ в 2025 году величина индекса прогнозной инфляции, рассчитанная на один месяц (1.0063), возводится в степень, размер которой соответствует количеству месяцев от даты формирования НМЦК до  даты начала выполнения работ (февраль 2025 - 1 июня 2025 г. - 4 месяца, т.е. 4-я степень)</t>
  </si>
  <si>
    <t>июнь 2025 г.</t>
  </si>
  <si>
    <t xml:space="preserve">Индекс прогнозной инфляции на дату окончания выполнения работ в 2025 году рассчитывается как ежемесячный индекс прогнозной инфляции (1.0063) в первой степени. 
справочно: 
для определения размера индекса прогнозной инфляции на период выполнения работ в 2025 году величина индекса прогнозной инфляции, рассчитанная на один месяц (1,0063), возводится в степень, размер которой соответствует количеству месяцев от даты формирования НМЦК  до даты окончания выполнения работ в 2025 г. (февраль 2025 г. - декабрь 2025 г. - 11 месяцев, т.е. 11-я степень) </t>
  </si>
  <si>
    <t>декабрь 2025 г.</t>
  </si>
  <si>
    <t>Среднее арифметическое = (1,0254+1,0715)/2</t>
  </si>
  <si>
    <t>На 2026 год индекс прогнозной инфляции рассчитывается как ежемесячный индекс прогнозной инфляции на 2026 год в первой степени, умноженный на среднее арифметическое между датой начала и датой окончания работ в 2025 г.</t>
  </si>
  <si>
    <r>
      <t>Индекс прогнозной инфляции на 2025 г. рассчитывается как ежемесячный индекс прогнозной инфляции (1,0063) в первой степени. 
справочно: 
для определения размера индекса прогнозной инфляции на конец 2025 года величина индекса прогнозной инфляции, рассчитанная на один месяц (1,0063), возводится в степень, размер которой соответствует количеству месяцев от даты формирования НМЦК. до конца 2025 г. (февраль 2025 г. - декабрь 2025 г. -11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месяцев, т.е. 11-я степень)</t>
    </r>
  </si>
  <si>
    <t>Индекс прогнозной инфляции на дату начала выполнения работ в 2026 году рассчитывается как ежемесячный индекс прогнозной инфляции (1.0043) в первой степени. 
справочно: 
для определения размера индекса прогнозной инфляции на дату начала выполнения работ в 2026 году величина индекса прогнозной инфляции, рассчитанная на один месяц (1.0043), возводится в степень, размер которой соответствует количеству месяцев от начала 2026 г. до  даты начала выполнения работ (январь 2026г - 1 месяц, т.е. 1-я степень)</t>
  </si>
  <si>
    <t>январь 2026 г.</t>
  </si>
  <si>
    <t xml:space="preserve">Индекс прогнозной инфляции на дату окончания выполнения работ в 2026 году рассчитывается как ежемесячный индекс прогнозной инфляции (1.0043) в шестой степени. 
справочно: 
для определения размера индекса прогнозной инфляции на дату окончания выполнения работ в 2026 году величина индекса прогнозной инфляции, рассчитанная на один месяц (1,0043), возводится в степень, размер которой соответствует количеству месяцев от начала 2026 г.  до даты окончания выполнения работ в 2026 г. (январь 2026 г. - 30 июня 2026  г. - 6 месяцев, т.е. 6-я степень) </t>
  </si>
  <si>
    <t>30 июня 2026 г.</t>
  </si>
  <si>
    <t>Среднее арифметическое = (1.0043+1.026)/2</t>
  </si>
  <si>
    <t>Прогнозный индекс дефлятор на 2026 г. = 1.0715* 1,0152</t>
  </si>
  <si>
    <t>Индекс прогнозной инфляции на период выполнения работ с учетом долей выполнения работ по годам</t>
  </si>
  <si>
    <t>(1,0485*0,54+1,0878*0,46)</t>
  </si>
  <si>
    <t xml:space="preserve">Заказчик: 
Департамент капитального строительства администрации Города Томска
</t>
  </si>
  <si>
    <t xml:space="preserve">6 мес </t>
  </si>
  <si>
    <t>Стоимость без учета НДС</t>
  </si>
  <si>
    <t>Начальник сметного отдела</t>
  </si>
  <si>
    <t>М. П. Хижнякова</t>
  </si>
  <si>
    <t>Проректор по АХРС ТГУ</t>
  </si>
  <si>
    <t>В. Б. Андриенко</t>
  </si>
  <si>
    <t>Стоимость работ в ценах на дату формирования начальной (максимальной) цены контракта 
февраль 2025 г. (руб)</t>
  </si>
  <si>
    <t xml:space="preserve"> 1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</si>
</sst>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\ _₽"/>
    <numFmt numFmtId="165" formatCode="0.0000"/>
    <numFmt numFmtId="166" formatCode="0.0"/>
    <numFmt numFmtId="167" formatCode="#,##0.0000"/>
    <numFmt numFmtId="168" formatCode="0.000"/>
  </numFmts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wrapText="1"/>
    </xf>
    <xf numFmtId="49" fontId="3" fillId="0" borderId="4" xfId="0" applyNumberFormat="1" applyFont="1" applyFill="1" applyBorder="1" applyAlignment="1" applyProtection="1">
      <alignment horizontal="center" vertical="top" wrapText="1"/>
    </xf>
    <xf numFmtId="49" fontId="3" fillId="0" borderId="4" xfId="0" applyNumberFormat="1" applyFont="1" applyFill="1" applyBorder="1" applyAlignment="1" applyProtection="1">
      <alignment horizontal="center" vertical="top"/>
    </xf>
    <xf numFmtId="1" fontId="3" fillId="0" borderId="4" xfId="0" applyNumberFormat="1" applyFont="1" applyFill="1" applyBorder="1" applyAlignment="1" applyProtection="1">
      <alignment horizontal="center" vertical="top"/>
    </xf>
    <xf numFmtId="4" fontId="3" fillId="0" borderId="4" xfId="0" applyNumberFormat="1" applyFont="1" applyFill="1" applyBorder="1" applyAlignment="1" applyProtection="1">
      <alignment horizontal="right" vertical="top"/>
    </xf>
    <xf numFmtId="43" fontId="3" fillId="0" borderId="4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4" xfId="0" applyNumberFormat="1" applyFont="1" applyFill="1" applyBorder="1" applyAlignment="1" applyProtection="1">
      <alignment horizontal="center" vertical="top" wrapText="1"/>
    </xf>
    <xf numFmtId="0" fontId="10" fillId="0" borderId="0" xfId="1" applyFont="1"/>
    <xf numFmtId="0" fontId="9" fillId="0" borderId="0" xfId="1" applyFont="1" applyAlignment="1">
      <alignment horizontal="center" vertical="top" wrapText="1"/>
    </xf>
    <xf numFmtId="0" fontId="11" fillId="0" borderId="0" xfId="1" applyFont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2" borderId="0" xfId="1" applyFont="1" applyFill="1" applyAlignment="1">
      <alignment horizontal="left" vertical="top" wrapText="1"/>
    </xf>
    <xf numFmtId="0" fontId="10" fillId="2" borderId="0" xfId="1" applyFont="1" applyFill="1"/>
    <xf numFmtId="0" fontId="10" fillId="0" borderId="0" xfId="1" applyFont="1" applyAlignment="1">
      <alignment horizontal="right"/>
    </xf>
    <xf numFmtId="9" fontId="10" fillId="0" borderId="0" xfId="1" applyNumberFormat="1" applyFont="1" applyAlignment="1">
      <alignment horizontal="center"/>
    </xf>
    <xf numFmtId="164" fontId="10" fillId="0" borderId="0" xfId="1" applyNumberFormat="1" applyFont="1"/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top" wrapText="1"/>
    </xf>
    <xf numFmtId="0" fontId="10" fillId="2" borderId="3" xfId="1" applyFont="1" applyFill="1" applyBorder="1" applyAlignment="1">
      <alignment horizontal="center" vertical="top" wrapText="1"/>
    </xf>
    <xf numFmtId="0" fontId="13" fillId="0" borderId="3" xfId="1" applyNumberFormat="1" applyFont="1" applyFill="1" applyBorder="1" applyAlignment="1" applyProtection="1">
      <alignment horizontal="left" vertical="top" wrapText="1"/>
    </xf>
    <xf numFmtId="164" fontId="14" fillId="0" borderId="3" xfId="1" applyNumberFormat="1" applyFont="1" applyBorder="1" applyAlignment="1">
      <alignment horizontal="center" vertical="center" wrapText="1"/>
    </xf>
    <xf numFmtId="165" fontId="14" fillId="0" borderId="3" xfId="1" applyNumberFormat="1" applyFont="1" applyBorder="1" applyAlignment="1">
      <alignment horizontal="center" vertical="center" wrapText="1"/>
    </xf>
    <xf numFmtId="165" fontId="14" fillId="2" borderId="3" xfId="1" applyNumberFormat="1" applyFont="1" applyFill="1" applyBorder="1" applyAlignment="1">
      <alignment horizontal="center" vertical="center" wrapText="1"/>
    </xf>
    <xf numFmtId="4" fontId="14" fillId="0" borderId="3" xfId="1" applyNumberFormat="1" applyFont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center"/>
    </xf>
    <xf numFmtId="4" fontId="14" fillId="2" borderId="3" xfId="1" applyNumberFormat="1" applyFont="1" applyFill="1" applyBorder="1" applyAlignment="1">
      <alignment horizontal="center" vertical="center"/>
    </xf>
    <xf numFmtId="2" fontId="14" fillId="2" borderId="3" xfId="1" applyNumberFormat="1" applyFont="1" applyFill="1" applyBorder="1" applyAlignment="1">
      <alignment horizontal="center" vertical="center"/>
    </xf>
    <xf numFmtId="164" fontId="14" fillId="0" borderId="3" xfId="1" applyNumberFormat="1" applyFont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14" fillId="0" borderId="0" xfId="1" applyFont="1"/>
    <xf numFmtId="164" fontId="14" fillId="0" borderId="0" xfId="1" applyNumberFormat="1" applyFont="1"/>
    <xf numFmtId="164" fontId="14" fillId="0" borderId="3" xfId="1" applyNumberFormat="1" applyFont="1" applyFill="1" applyBorder="1" applyAlignment="1">
      <alignment horizontal="center" vertical="center"/>
    </xf>
    <xf numFmtId="164" fontId="14" fillId="0" borderId="0" xfId="1" applyNumberFormat="1" applyFont="1" applyBorder="1" applyAlignment="1">
      <alignment horizontal="center" vertical="center"/>
    </xf>
    <xf numFmtId="4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left" vertical="top" wrapText="1"/>
    </xf>
    <xf numFmtId="164" fontId="15" fillId="0" borderId="3" xfId="1" applyNumberFormat="1" applyFont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top" wrapText="1"/>
    </xf>
    <xf numFmtId="164" fontId="14" fillId="0" borderId="3" xfId="1" applyNumberFormat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left" vertical="top" wrapTex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left" vertical="top" wrapText="1"/>
    </xf>
    <xf numFmtId="164" fontId="15" fillId="0" borderId="2" xfId="1" applyNumberFormat="1" applyFont="1" applyFill="1" applyBorder="1" applyAlignment="1">
      <alignment horizontal="center" vertical="center" wrapText="1"/>
    </xf>
    <xf numFmtId="165" fontId="14" fillId="0" borderId="2" xfId="1" applyNumberFormat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top" wrapText="1"/>
    </xf>
    <xf numFmtId="164" fontId="11" fillId="0" borderId="0" xfId="1" applyNumberFormat="1" applyFont="1" applyBorder="1" applyAlignment="1">
      <alignment horizontal="center" vertical="center" wrapText="1"/>
    </xf>
    <xf numFmtId="4" fontId="11" fillId="0" borderId="0" xfId="1" applyNumberFormat="1" applyFont="1" applyBorder="1" applyAlignment="1">
      <alignment horizontal="center" vertical="top" wrapText="1"/>
    </xf>
    <xf numFmtId="4" fontId="11" fillId="0" borderId="0" xfId="1" applyNumberFormat="1" applyFont="1" applyBorder="1" applyAlignment="1">
      <alignment horizontal="center" vertical="center" wrapText="1"/>
    </xf>
    <xf numFmtId="4" fontId="11" fillId="2" borderId="0" xfId="1" applyNumberFormat="1" applyFont="1" applyFill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17" fontId="11" fillId="0" borderId="0" xfId="1" applyNumberFormat="1" applyFont="1" applyAlignment="1">
      <alignment vertical="top"/>
    </xf>
    <xf numFmtId="0" fontId="11" fillId="0" borderId="0" xfId="1" applyFont="1" applyAlignment="1">
      <alignment vertical="top"/>
    </xf>
    <xf numFmtId="49" fontId="17" fillId="0" borderId="0" xfId="1" applyNumberFormat="1" applyFont="1" applyBorder="1" applyAlignment="1">
      <alignment horizontal="left" vertical="top" wrapText="1"/>
    </xf>
    <xf numFmtId="49" fontId="17" fillId="0" borderId="0" xfId="1" applyNumberFormat="1" applyFont="1" applyFill="1" applyBorder="1" applyAlignment="1">
      <alignment horizontal="left" vertical="top"/>
    </xf>
    <xf numFmtId="4" fontId="17" fillId="0" borderId="0" xfId="1" applyNumberFormat="1" applyFont="1" applyBorder="1" applyAlignment="1">
      <alignment horizontal="center" vertical="top"/>
    </xf>
    <xf numFmtId="49" fontId="17" fillId="0" borderId="0" xfId="1" applyNumberFormat="1" applyFont="1" applyBorder="1" applyAlignment="1">
      <alignment horizontal="center" vertical="top"/>
    </xf>
    <xf numFmtId="4" fontId="12" fillId="0" borderId="0" xfId="1" applyNumberFormat="1" applyFont="1" applyBorder="1" applyAlignment="1">
      <alignment horizontal="center" vertical="top"/>
    </xf>
    <xf numFmtId="49" fontId="17" fillId="2" borderId="0" xfId="1" applyNumberFormat="1" applyFont="1" applyFill="1" applyAlignment="1"/>
    <xf numFmtId="4" fontId="17" fillId="2" borderId="0" xfId="1" applyNumberFormat="1" applyFont="1" applyFill="1" applyAlignment="1"/>
    <xf numFmtId="4" fontId="17" fillId="0" borderId="0" xfId="1" applyNumberFormat="1" applyFont="1" applyAlignment="1"/>
    <xf numFmtId="49" fontId="17" fillId="0" borderId="0" xfId="1" applyNumberFormat="1" applyFont="1" applyAlignment="1"/>
    <xf numFmtId="0" fontId="11" fillId="0" borderId="0" xfId="1" applyFont="1" applyAlignment="1">
      <alignment horizontal="right" vertical="top"/>
    </xf>
    <xf numFmtId="0" fontId="10" fillId="0" borderId="0" xfId="1" applyFont="1" applyAlignment="1">
      <alignment vertical="top"/>
    </xf>
    <xf numFmtId="2" fontId="10" fillId="0" borderId="0" xfId="1" applyNumberFormat="1" applyFont="1"/>
    <xf numFmtId="0" fontId="15" fillId="0" borderId="0" xfId="1" applyFont="1" applyAlignment="1">
      <alignment horizontal="left" vertical="top" wrapText="1"/>
    </xf>
    <xf numFmtId="0" fontId="11" fillId="2" borderId="0" xfId="1" applyFont="1" applyFill="1" applyAlignment="1">
      <alignment vertical="top"/>
    </xf>
    <xf numFmtId="0" fontId="10" fillId="0" borderId="0" xfId="1" applyFont="1" applyAlignment="1">
      <alignment horizontal="right" vertical="top" wrapText="1"/>
    </xf>
    <xf numFmtId="0" fontId="10" fillId="0" borderId="0" xfId="1" applyFont="1" applyAlignment="1">
      <alignment horizontal="center" vertical="top" wrapText="1"/>
    </xf>
    <xf numFmtId="0" fontId="12" fillId="0" borderId="0" xfId="1" applyFont="1" applyAlignment="1">
      <alignment horizontal="left" vertical="top" wrapText="1"/>
    </xf>
    <xf numFmtId="0" fontId="17" fillId="0" borderId="0" xfId="1" applyFont="1"/>
    <xf numFmtId="165" fontId="17" fillId="0" borderId="0" xfId="1" applyNumberFormat="1" applyFont="1" applyAlignment="1">
      <alignment horizontal="center" wrapText="1"/>
    </xf>
    <xf numFmtId="0" fontId="17" fillId="0" borderId="0" xfId="1" applyFont="1" applyAlignment="1">
      <alignment horizontal="left" wrapText="1"/>
    </xf>
    <xf numFmtId="0" fontId="12" fillId="2" borderId="0" xfId="1" applyFont="1" applyFill="1"/>
    <xf numFmtId="4" fontId="12" fillId="0" borderId="0" xfId="1" applyNumberFormat="1" applyFont="1" applyAlignment="1">
      <alignment horizontal="left" vertical="center" wrapText="1"/>
    </xf>
    <xf numFmtId="4" fontId="12" fillId="2" borderId="0" xfId="1" applyNumberFormat="1" applyFont="1" applyFill="1" applyAlignment="1">
      <alignment horizontal="left" vertical="top" wrapText="1"/>
    </xf>
    <xf numFmtId="4" fontId="12" fillId="2" borderId="0" xfId="1" applyNumberFormat="1" applyFont="1" applyFill="1"/>
    <xf numFmtId="0" fontId="12" fillId="2" borderId="0" xfId="1" applyFont="1" applyFill="1" applyAlignment="1">
      <alignment horizontal="left" vertical="center" wrapText="1"/>
    </xf>
    <xf numFmtId="0" fontId="17" fillId="2" borderId="0" xfId="1" applyFont="1" applyFill="1" applyAlignment="1">
      <alignment horizontal="left" vertical="top" wrapText="1"/>
    </xf>
    <xf numFmtId="0" fontId="17" fillId="2" borderId="0" xfId="1" applyFont="1" applyFill="1" applyAlignment="1">
      <alignment horizontal="right" vertical="top"/>
    </xf>
    <xf numFmtId="166" fontId="17" fillId="2" borderId="0" xfId="1" applyNumberFormat="1" applyFont="1" applyFill="1" applyAlignment="1">
      <alignment horizontal="left" vertical="top"/>
    </xf>
    <xf numFmtId="0" fontId="12" fillId="2" borderId="0" xfId="1" applyFont="1" applyFill="1" applyAlignment="1">
      <alignment horizontal="center" vertical="top"/>
    </xf>
    <xf numFmtId="0" fontId="12" fillId="2" borderId="0" xfId="1" applyFont="1" applyFill="1" applyAlignment="1">
      <alignment horizontal="left" vertical="top"/>
    </xf>
    <xf numFmtId="0" fontId="12" fillId="2" borderId="0" xfId="2" applyFont="1" applyFill="1"/>
    <xf numFmtId="4" fontId="12" fillId="2" borderId="0" xfId="2" applyNumberFormat="1" applyFont="1" applyFill="1"/>
    <xf numFmtId="165" fontId="17" fillId="2" borderId="0" xfId="1" applyNumberFormat="1" applyFont="1" applyFill="1" applyAlignment="1">
      <alignment horizontal="left" vertical="top"/>
    </xf>
    <xf numFmtId="167" fontId="17" fillId="2" borderId="0" xfId="1" applyNumberFormat="1" applyFont="1" applyFill="1" applyAlignment="1">
      <alignment horizontal="left" vertical="top"/>
    </xf>
    <xf numFmtId="0" fontId="12" fillId="2" borderId="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/>
    </xf>
    <xf numFmtId="165" fontId="17" fillId="2" borderId="3" xfId="1" applyNumberFormat="1" applyFont="1" applyFill="1" applyBorder="1" applyAlignment="1">
      <alignment horizontal="center" vertical="top"/>
    </xf>
    <xf numFmtId="0" fontId="12" fillId="0" borderId="3" xfId="1" applyFont="1" applyFill="1" applyBorder="1" applyAlignment="1">
      <alignment horizontal="center" vertical="top" wrapText="1"/>
    </xf>
    <xf numFmtId="168" fontId="12" fillId="2" borderId="3" xfId="1" applyNumberFormat="1" applyFont="1" applyFill="1" applyBorder="1" applyAlignment="1">
      <alignment horizontal="center" vertical="top"/>
    </xf>
    <xf numFmtId="0" fontId="11" fillId="0" borderId="0" xfId="1" applyFont="1"/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4" fillId="2" borderId="0" xfId="1" applyFont="1" applyFill="1" applyAlignment="1">
      <alignment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left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vertical="top"/>
    </xf>
    <xf numFmtId="0" fontId="14" fillId="2" borderId="0" xfId="1" applyFont="1" applyFill="1" applyAlignment="1"/>
    <xf numFmtId="0" fontId="14" fillId="0" borderId="0" xfId="1" applyFont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49" fontId="3" fillId="0" borderId="4" xfId="0" applyNumberFormat="1" applyFont="1" applyFill="1" applyBorder="1" applyAlignment="1" applyProtection="1">
      <alignment horizontal="left" vertical="top" wrapText="1"/>
    </xf>
    <xf numFmtId="49" fontId="5" fillId="0" borderId="7" xfId="0" applyNumberFormat="1" applyFont="1" applyFill="1" applyBorder="1" applyAlignment="1" applyProtection="1">
      <alignment horizontal="left" vertical="top" wrapText="1"/>
    </xf>
    <xf numFmtId="49" fontId="5" fillId="0" borderId="8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4" fillId="0" borderId="0" xfId="1" applyFont="1" applyAlignment="1">
      <alignment horizontal="left" wrapText="1"/>
    </xf>
    <xf numFmtId="0" fontId="14" fillId="0" borderId="0" xfId="1" applyFont="1" applyAlignment="1">
      <alignment horizontal="left" vertical="top" wrapText="1"/>
    </xf>
    <xf numFmtId="0" fontId="17" fillId="2" borderId="6" xfId="1" applyFont="1" applyFill="1" applyBorder="1" applyAlignment="1">
      <alignment horizontal="center" vertical="top" wrapText="1"/>
    </xf>
    <xf numFmtId="0" fontId="17" fillId="2" borderId="7" xfId="1" applyFont="1" applyFill="1" applyBorder="1" applyAlignment="1">
      <alignment horizontal="center" vertical="top" wrapText="1"/>
    </xf>
    <xf numFmtId="0" fontId="17" fillId="2" borderId="8" xfId="1" applyFont="1" applyFill="1" applyBorder="1" applyAlignment="1">
      <alignment horizontal="center" vertical="top" wrapText="1"/>
    </xf>
    <xf numFmtId="0" fontId="14" fillId="2" borderId="0" xfId="1" applyFont="1" applyFill="1" applyAlignment="1">
      <alignment horizontal="left"/>
    </xf>
    <xf numFmtId="0" fontId="12" fillId="2" borderId="6" xfId="1" applyFont="1" applyFill="1" applyBorder="1" applyAlignment="1">
      <alignment horizontal="left" vertical="top" wrapText="1"/>
    </xf>
    <xf numFmtId="0" fontId="12" fillId="2" borderId="7" xfId="1" applyFont="1" applyFill="1" applyBorder="1" applyAlignment="1">
      <alignment horizontal="left" vertical="top" wrapText="1"/>
    </xf>
    <xf numFmtId="0" fontId="12" fillId="2" borderId="8" xfId="1" applyFont="1" applyFill="1" applyBorder="1" applyAlignment="1">
      <alignment horizontal="left" vertical="top" wrapText="1"/>
    </xf>
    <xf numFmtId="4" fontId="12" fillId="0" borderId="0" xfId="1" applyNumberFormat="1" applyFont="1" applyAlignment="1">
      <alignment horizontal="left" vertical="center" wrapText="1"/>
    </xf>
    <xf numFmtId="0" fontId="12" fillId="2" borderId="0" xfId="1" applyFont="1" applyFill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2" fillId="0" borderId="6" xfId="1" applyFont="1" applyFill="1" applyBorder="1" applyAlignment="1">
      <alignment horizontal="left" vertical="top" wrapText="1"/>
    </xf>
    <xf numFmtId="0" fontId="12" fillId="0" borderId="7" xfId="1" applyFont="1" applyFill="1" applyBorder="1" applyAlignment="1">
      <alignment horizontal="left" vertical="top" wrapText="1"/>
    </xf>
    <xf numFmtId="0" fontId="12" fillId="0" borderId="8" xfId="1" applyFont="1" applyFill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9" fillId="0" borderId="0" xfId="1" applyFont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5" fillId="0" borderId="0" xfId="0" applyFont="1"/>
  </cellXfs>
  <cellStyles count="3">
    <cellStyle name="Обычный" xfId="0" builtinId="0"/>
    <cellStyle name="Обычный 3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7;&#1059;/2025%20&#1043;&#1054;&#1044;/&#1050;&#1056;%20&#1050;&#1054;&#1056;&#1055;&#1059;&#1057;%205/&#1056;&#1072;&#1089;&#1095;&#1077;&#1090;%20&#1089;&#1090;&#1086;&#1080;&#1084;&#1086;&#1089;&#1090;&#1080;%20&#1089;%20&#1082;&#1086;&#1084;&#1087;.&#1053;&#1044;&#1057;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  <sheetName val="Final_m"/>
      <sheetName val="Charts"/>
      <sheetName val="Переме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  <sheetName val="TablesYearToYear"/>
      <sheetName val="1999"/>
      <sheetName val="ипц2002-2004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Оглавление"/>
      <sheetName val="Печать Выпусков"/>
      <sheetName val="Печать ИОК"/>
      <sheetName val="Печать фондов"/>
      <sheetName val="Баланс ОФ"/>
      <sheetName val="Dealing_other bonds"/>
      <sheetName val="Проект"/>
      <sheetName val="Constants"/>
      <sheetName val="NIUs"/>
      <sheetName val="КлассНТМК"/>
      <sheetName val="Пр2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  <sheetName val="Гр5(о)"/>
      <sheetName val="Main"/>
      <sheetName val="ПРОГНОЗ_1"/>
      <sheetName val="rozvaha"/>
      <sheetName val="основн информ"/>
    </sheetNames>
    <sheetDataSet>
      <sheetData sheetId="0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1" refreshError="1">
        <row r="121">
          <cell r="CI121">
            <v>1199.7543236906586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X305">
            <v>0.47882842736883524</v>
          </cell>
        </row>
        <row r="306">
          <cell r="X306">
            <v>1.990680034736596</v>
          </cell>
        </row>
        <row r="307">
          <cell r="X307">
            <v>7.8008447341311413</v>
          </cell>
        </row>
        <row r="308">
          <cell r="X308">
            <v>1.9709498469205404</v>
          </cell>
        </row>
        <row r="309">
          <cell r="X309">
            <v>0.27256702917581299</v>
          </cell>
        </row>
        <row r="310">
          <cell r="X310">
            <v>2.5559084912343706</v>
          </cell>
        </row>
        <row r="311">
          <cell r="X311">
            <v>3.0352589215630927</v>
          </cell>
        </row>
        <row r="312">
          <cell r="X312">
            <v>2.9631747768844696</v>
          </cell>
        </row>
        <row r="313">
          <cell r="X313">
            <v>3.0501431141168038</v>
          </cell>
        </row>
        <row r="314">
          <cell r="X314">
            <v>3.1724395660395981</v>
          </cell>
        </row>
        <row r="315">
          <cell r="X315">
            <v>4.2942158563236035</v>
          </cell>
        </row>
        <row r="316">
          <cell r="X316">
            <v>6.0602414813269059</v>
          </cell>
        </row>
        <row r="317">
          <cell r="X317">
            <v>4.5218919927725576</v>
          </cell>
        </row>
        <row r="318">
          <cell r="X318">
            <v>3.4680879074882145</v>
          </cell>
        </row>
        <row r="319">
          <cell r="X319">
            <v>5.824093989287964</v>
          </cell>
        </row>
        <row r="320">
          <cell r="X320">
            <v>2.6219865812864538</v>
          </cell>
        </row>
        <row r="321">
          <cell r="X321">
            <v>0.49666330878179943</v>
          </cell>
        </row>
        <row r="322">
          <cell r="X322">
            <v>32.61121292988657</v>
          </cell>
        </row>
        <row r="323">
          <cell r="X323">
            <v>7.2272592008065351</v>
          </cell>
        </row>
        <row r="324">
          <cell r="X324">
            <v>2.9415488738358175</v>
          </cell>
        </row>
        <row r="325">
          <cell r="X325">
            <v>0.74307864342814867</v>
          </cell>
        </row>
        <row r="326">
          <cell r="X326">
            <v>8.8850444441020642</v>
          </cell>
        </row>
        <row r="327">
          <cell r="X327">
            <v>2.4696259927089108</v>
          </cell>
        </row>
        <row r="335">
          <cell r="X335">
            <v>0.48840499591621195</v>
          </cell>
        </row>
        <row r="336">
          <cell r="X336">
            <v>2.0304936354313279</v>
          </cell>
        </row>
        <row r="337">
          <cell r="X337">
            <v>7.8008447341311413</v>
          </cell>
        </row>
        <row r="338">
          <cell r="X338">
            <v>2.0103688438589513</v>
          </cell>
        </row>
        <row r="339">
          <cell r="X339">
            <v>0.27801836975932925</v>
          </cell>
        </row>
        <row r="340">
          <cell r="X340">
            <v>2.607026661059058</v>
          </cell>
        </row>
        <row r="341">
          <cell r="X341">
            <v>3.0959640999943545</v>
          </cell>
        </row>
        <row r="342">
          <cell r="X342">
            <v>3.0224382724221592</v>
          </cell>
        </row>
        <row r="343">
          <cell r="X343">
            <v>3.1111459763991398</v>
          </cell>
        </row>
        <row r="344">
          <cell r="X344">
            <v>3.2358883573603903</v>
          </cell>
        </row>
        <row r="345">
          <cell r="X345">
            <v>4.3801001734500753</v>
          </cell>
        </row>
        <row r="346">
          <cell r="X346">
            <v>6.1814463109534445</v>
          </cell>
        </row>
        <row r="347">
          <cell r="X347">
            <v>4.6123298326280091</v>
          </cell>
        </row>
        <row r="348">
          <cell r="X348">
            <v>3.537449665637979</v>
          </cell>
        </row>
        <row r="349">
          <cell r="X349">
            <v>5.9405758690737231</v>
          </cell>
        </row>
        <row r="350">
          <cell r="X350">
            <v>2.6744263129121828</v>
          </cell>
        </row>
        <row r="351">
          <cell r="X351">
            <v>0.50659657495743537</v>
          </cell>
        </row>
        <row r="352">
          <cell r="X352">
            <v>33.263437188484303</v>
          </cell>
        </row>
        <row r="353">
          <cell r="X353">
            <v>7.3718043848226662</v>
          </cell>
        </row>
        <row r="354">
          <cell r="X354">
            <v>3.0003798513125339</v>
          </cell>
        </row>
        <row r="355">
          <cell r="X355">
            <v>0.7579402162967116</v>
          </cell>
        </row>
        <row r="356">
          <cell r="X356">
            <v>9.0627453329841057</v>
          </cell>
        </row>
        <row r="357">
          <cell r="X357">
            <v>2.5190185125630893</v>
          </cell>
        </row>
      </sheetData>
      <sheetData sheetId="2" refreshError="1"/>
      <sheetData sheetId="3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4">
        <row r="4">
          <cell r="Y4">
            <v>1</v>
          </cell>
        </row>
      </sheetData>
      <sheetData sheetId="5">
        <row r="121">
          <cell r="CI121">
            <v>1199.7543236906586</v>
          </cell>
        </row>
      </sheetData>
      <sheetData sheetId="6">
        <row r="2">
          <cell r="B2" t="str">
            <v>Выпуски</v>
          </cell>
        </row>
      </sheetData>
      <sheetData sheetId="7">
        <row r="2">
          <cell r="B2" t="str">
            <v>Выпуски</v>
          </cell>
        </row>
      </sheetData>
      <sheetData sheetId="8">
        <row r="4">
          <cell r="Y4">
            <v>1</v>
          </cell>
        </row>
      </sheetData>
      <sheetData sheetId="9">
        <row r="121">
          <cell r="CI121">
            <v>1199.7543236906586</v>
          </cell>
        </row>
      </sheetData>
      <sheetData sheetId="10">
        <row r="7">
          <cell r="C7">
            <v>1</v>
          </cell>
        </row>
      </sheetData>
      <sheetData sheetId="11">
        <row r="4">
          <cell r="Y4">
            <v>1</v>
          </cell>
        </row>
      </sheetData>
      <sheetData sheetId="12">
        <row r="121">
          <cell r="CI121">
            <v>1199.7543236906586</v>
          </cell>
        </row>
      </sheetData>
      <sheetData sheetId="13">
        <row r="7">
          <cell r="C7">
            <v>1</v>
          </cell>
        </row>
      </sheetData>
      <sheetData sheetId="14">
        <row r="4">
          <cell r="Y4">
            <v>1</v>
          </cell>
        </row>
      </sheetData>
      <sheetData sheetId="15"/>
      <sheetData sheetId="16">
        <row r="121">
          <cell r="CI121">
            <v>1199.7543236906586</v>
          </cell>
        </row>
      </sheetData>
      <sheetData sheetId="17">
        <row r="4">
          <cell r="Y4">
            <v>1</v>
          </cell>
        </row>
      </sheetData>
      <sheetData sheetId="18"/>
      <sheetData sheetId="19">
        <row r="121">
          <cell r="CI121">
            <v>1199.7543236906586</v>
          </cell>
        </row>
      </sheetData>
      <sheetData sheetId="20">
        <row r="4">
          <cell r="Y4">
            <v>1</v>
          </cell>
        </row>
      </sheetData>
      <sheetData sheetId="21">
        <row r="2">
          <cell r="B2" t="str">
            <v>Выпуски</v>
          </cell>
        </row>
      </sheetData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>
        <row r="2">
          <cell r="B2" t="str">
            <v>Выпуски</v>
          </cell>
        </row>
      </sheetData>
      <sheetData sheetId="25">
        <row r="2">
          <cell r="B2" t="str">
            <v>Выпуски</v>
          </cell>
        </row>
      </sheetData>
      <sheetData sheetId="26">
        <row r="2">
          <cell r="B2" t="str">
            <v>Выпуски</v>
          </cell>
        </row>
      </sheetData>
      <sheetData sheetId="27">
        <row r="2">
          <cell r="B2" t="str">
            <v>Выпуски</v>
          </cell>
        </row>
      </sheetData>
      <sheetData sheetId="28">
        <row r="2">
          <cell r="B2" t="str">
            <v>Выпуски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Оценка DCF"/>
      <sheetName val="GKN (2)"/>
      <sheetName val="ПЕРЕЧЕНЬ"/>
      <sheetName val="Программа"/>
      <sheetName val="Лист2"/>
      <sheetName val="Предпр.-взвеш. оценка"/>
      <sheetName val="база_свод"/>
      <sheetName val="Сдача "/>
      <sheetName val="расход"/>
      <sheetName val="Док+Исх"/>
      <sheetName val="Inputs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Регионы"/>
      <sheetName val="Исходные"/>
      <sheetName val="пл. 2001 цехов и УГС"/>
      <sheetName val="2002(v1)"/>
      <sheetName val="Списки"/>
      <sheetName val="Contents"/>
      <sheetName val="Настройки"/>
      <sheetName val="АА"/>
      <sheetName val="Содержание"/>
      <sheetName val="Налоги+Амортиз"/>
      <sheetName val="Энергия на СН"/>
      <sheetName val="НФИк"/>
      <sheetName val="Оценка_DCF"/>
      <sheetName val="GKN_(2)"/>
      <sheetName val="Нормы"/>
      <sheetName val="Пески сводный реестр"/>
      <sheetName val="Т-18-Инвестиции"/>
      <sheetName val="Морские поставки"/>
      <sheetName val="прим"/>
      <sheetName val="данные производственные"/>
      <sheetName val="данные капвложения"/>
      <sheetName val="данные стоимостные"/>
      <sheetName val="данные себестоимость"/>
      <sheetName val="0.Настройка"/>
      <sheetName val="Медслужба"/>
      <sheetName val="РМУ"/>
      <sheetName val="УКиСР"/>
      <sheetName val="приб. от экспорта"/>
      <sheetName val="Смета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1 - ОС по Методике 2020 (Пр"/>
      <sheetName val="Расчет НМЦК"/>
      <sheetName val="инд"/>
      <sheetName val="Дефл год Базовый Сайт"/>
      <sheetName val="Росстат"/>
    </sheetNames>
    <sheetDataSet>
      <sheetData sheetId="0"/>
      <sheetData sheetId="1"/>
      <sheetData sheetId="2">
        <row r="5">
          <cell r="E5">
            <v>100.16</v>
          </cell>
          <cell r="F5">
            <v>100.35</v>
          </cell>
        </row>
        <row r="6">
          <cell r="E6">
            <v>100.59</v>
          </cell>
        </row>
        <row r="7">
          <cell r="E7">
            <v>100.14</v>
          </cell>
        </row>
        <row r="8">
          <cell r="D8">
            <v>100.8</v>
          </cell>
          <cell r="E8">
            <v>100.42</v>
          </cell>
        </row>
        <row r="9">
          <cell r="D9">
            <v>100.13</v>
          </cell>
          <cell r="E9">
            <v>100.47</v>
          </cell>
        </row>
        <row r="10">
          <cell r="D10">
            <v>101.12</v>
          </cell>
          <cell r="E10">
            <v>100.21</v>
          </cell>
        </row>
        <row r="11">
          <cell r="D11">
            <v>101.03</v>
          </cell>
          <cell r="E11">
            <v>100.45</v>
          </cell>
        </row>
        <row r="12">
          <cell r="D12">
            <v>100.73</v>
          </cell>
          <cell r="E12">
            <v>100.32</v>
          </cell>
        </row>
        <row r="13">
          <cell r="D13">
            <v>100.48</v>
          </cell>
          <cell r="E13">
            <v>100.49</v>
          </cell>
        </row>
        <row r="14">
          <cell r="D14">
            <v>100.57</v>
          </cell>
          <cell r="E14">
            <v>100.64</v>
          </cell>
        </row>
        <row r="15">
          <cell r="D15">
            <v>99.97</v>
          </cell>
          <cell r="E15">
            <v>100.62</v>
          </cell>
        </row>
        <row r="16">
          <cell r="D16">
            <v>100.61</v>
          </cell>
          <cell r="E16">
            <v>100.48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1"/>
  <sheetViews>
    <sheetView tabSelected="1" workbookViewId="0">
      <selection activeCell="C58" sqref="C58"/>
    </sheetView>
  </sheetViews>
  <sheetFormatPr defaultColWidth="8.85546875" defaultRowHeight="15" customHeight="1" x14ac:dyDescent="0.25"/>
  <cols>
    <col min="1" max="1" width="9" style="4" customWidth="1"/>
    <col min="2" max="2" width="24" style="1" customWidth="1"/>
    <col min="3" max="3" width="22.7109375" style="1" customWidth="1"/>
    <col min="4" max="4" width="14.85546875" style="1" customWidth="1"/>
    <col min="5" max="5" width="10.7109375" style="1" customWidth="1"/>
    <col min="6" max="6" width="11.28515625" style="1" customWidth="1"/>
    <col min="7" max="8" width="18" style="1" customWidth="1"/>
    <col min="9" max="9" width="20.85546875" style="1" customWidth="1"/>
    <col min="10" max="13" width="36.7109375" style="3" hidden="1" customWidth="1"/>
    <col min="14" max="15" width="38.85546875" style="3" hidden="1" customWidth="1"/>
    <col min="16" max="19" width="36.7109375" style="3" hidden="1" customWidth="1"/>
    <col min="20" max="21" width="38.85546875" style="3" hidden="1" customWidth="1"/>
    <col min="22" max="34" width="184.5703125" style="3" hidden="1" customWidth="1"/>
    <col min="35" max="35" width="29.28515625" style="3" hidden="1" customWidth="1"/>
    <col min="36" max="36" width="69" style="3" hidden="1" customWidth="1"/>
    <col min="37" max="48" width="138.28515625" style="3" hidden="1" customWidth="1"/>
    <col min="49" max="16384" width="8.85546875" style="1"/>
  </cols>
  <sheetData>
    <row r="1" spans="1:33" ht="15" customHeight="1" x14ac:dyDescent="0.25">
      <c r="A1" s="1"/>
      <c r="I1" s="2" t="s">
        <v>0</v>
      </c>
    </row>
    <row r="2" spans="1:33" ht="15.75" x14ac:dyDescent="0.25">
      <c r="I2" s="2" t="s">
        <v>1</v>
      </c>
    </row>
    <row r="3" spans="1:33" ht="15.75" x14ac:dyDescent="0.25">
      <c r="B3" s="5"/>
      <c r="C3" s="5"/>
      <c r="D3" s="5"/>
      <c r="E3" s="5"/>
      <c r="F3" s="2"/>
    </row>
    <row r="4" spans="1:33" ht="15" customHeight="1" x14ac:dyDescent="0.25">
      <c r="A4" s="1"/>
      <c r="B4" s="168" t="s">
        <v>2</v>
      </c>
      <c r="C4" s="6"/>
      <c r="D4" s="5"/>
      <c r="E4" s="5"/>
      <c r="H4" s="145" t="s">
        <v>3</v>
      </c>
      <c r="I4" s="145"/>
    </row>
    <row r="5" spans="1:33" ht="14.25" customHeight="1" x14ac:dyDescent="0.25">
      <c r="A5" s="131"/>
      <c r="B5" s="7"/>
      <c r="C5" s="7"/>
      <c r="D5" s="8"/>
      <c r="E5" s="8"/>
      <c r="F5" s="5"/>
      <c r="G5" s="5"/>
      <c r="H5" s="166" t="s">
        <v>151</v>
      </c>
      <c r="I5" s="166"/>
    </row>
    <row r="6" spans="1:33" ht="15.75" x14ac:dyDescent="0.25">
      <c r="A6" s="131"/>
      <c r="B6" s="7"/>
      <c r="C6" s="7"/>
      <c r="D6" s="7"/>
      <c r="E6" s="7"/>
      <c r="F6" s="5"/>
      <c r="G6" s="5"/>
      <c r="H6" s="146"/>
      <c r="I6" s="146"/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</row>
    <row r="7" spans="1:33" ht="15.75" x14ac:dyDescent="0.25">
      <c r="A7" s="167"/>
      <c r="B7" s="167"/>
      <c r="C7" s="5"/>
      <c r="D7" s="5"/>
      <c r="E7" s="5"/>
      <c r="F7" s="5"/>
      <c r="G7" s="5"/>
      <c r="H7" s="141" t="s">
        <v>152</v>
      </c>
      <c r="I7" s="141"/>
      <c r="P7" s="3" t="s">
        <v>4</v>
      </c>
      <c r="Q7" s="3" t="s">
        <v>4</v>
      </c>
      <c r="R7" s="3" t="s">
        <v>4</v>
      </c>
      <c r="S7" s="3" t="s">
        <v>4</v>
      </c>
      <c r="T7" s="3" t="s">
        <v>4</v>
      </c>
      <c r="U7" s="3" t="s">
        <v>4</v>
      </c>
    </row>
    <row r="8" spans="1:33" ht="15.75" customHeight="1" x14ac:dyDescent="0.25">
      <c r="A8" s="9" t="s">
        <v>5</v>
      </c>
      <c r="B8" s="5"/>
      <c r="C8" s="5"/>
      <c r="D8" s="5"/>
      <c r="E8" s="5"/>
      <c r="F8" s="10"/>
      <c r="G8" s="10"/>
      <c r="H8" s="5"/>
      <c r="I8" s="10" t="s">
        <v>5</v>
      </c>
    </row>
    <row r="9" spans="1:33" ht="15.75" customHeight="1" x14ac:dyDescent="0.25">
      <c r="B9" s="5"/>
      <c r="C9" s="5"/>
      <c r="D9" s="5"/>
      <c r="E9" s="5"/>
      <c r="F9" s="5"/>
      <c r="G9" s="5"/>
      <c r="H9" s="5"/>
      <c r="I9" s="5"/>
    </row>
    <row r="10" spans="1:33" ht="21" customHeight="1" x14ac:dyDescent="0.25">
      <c r="A10" s="142" t="s">
        <v>6</v>
      </c>
      <c r="B10" s="142"/>
      <c r="C10" s="142"/>
      <c r="D10" s="142"/>
      <c r="E10" s="142"/>
      <c r="F10" s="142"/>
      <c r="G10" s="142"/>
      <c r="H10" s="142"/>
      <c r="I10" s="142"/>
    </row>
    <row r="11" spans="1:33" ht="15.75" x14ac:dyDescent="0.25"/>
    <row r="12" spans="1:33" ht="32.25" customHeight="1" x14ac:dyDescent="0.25">
      <c r="A12" s="143" t="s">
        <v>59</v>
      </c>
      <c r="B12" s="143"/>
      <c r="C12" s="143"/>
      <c r="D12" s="143"/>
      <c r="E12" s="143"/>
      <c r="F12" s="143"/>
      <c r="G12" s="143"/>
      <c r="H12" s="143"/>
      <c r="I12" s="143"/>
      <c r="V12" s="3" t="s">
        <v>4</v>
      </c>
      <c r="W12" s="3" t="s">
        <v>4</v>
      </c>
      <c r="X12" s="3" t="s">
        <v>4</v>
      </c>
      <c r="Y12" s="3" t="s">
        <v>4</v>
      </c>
      <c r="Z12" s="3" t="s">
        <v>4</v>
      </c>
      <c r="AA12" s="3" t="s">
        <v>4</v>
      </c>
      <c r="AB12" s="3" t="s">
        <v>4</v>
      </c>
      <c r="AC12" s="3" t="s">
        <v>4</v>
      </c>
      <c r="AD12" s="3" t="s">
        <v>4</v>
      </c>
      <c r="AE12" s="3" t="s">
        <v>4</v>
      </c>
      <c r="AF12" s="3" t="s">
        <v>4</v>
      </c>
      <c r="AG12" s="3" t="s">
        <v>4</v>
      </c>
    </row>
    <row r="13" spans="1:33" ht="15.75" x14ac:dyDescent="0.25">
      <c r="A13" s="144" t="s">
        <v>7</v>
      </c>
      <c r="B13" s="144"/>
      <c r="C13" s="144"/>
      <c r="D13" s="144"/>
      <c r="E13" s="144"/>
      <c r="F13" s="144"/>
      <c r="G13" s="144"/>
      <c r="H13" s="144"/>
      <c r="I13" s="144"/>
    </row>
    <row r="14" spans="1:33" ht="15.75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33" ht="26.25" customHeight="1" x14ac:dyDescent="0.25">
      <c r="A15" s="139" t="s">
        <v>8</v>
      </c>
      <c r="B15" s="139" t="s">
        <v>9</v>
      </c>
      <c r="C15" s="139"/>
      <c r="D15" s="139"/>
      <c r="E15" s="139" t="s">
        <v>10</v>
      </c>
      <c r="F15" s="139" t="s">
        <v>11</v>
      </c>
      <c r="G15" s="137" t="s">
        <v>12</v>
      </c>
      <c r="H15" s="137" t="s">
        <v>13</v>
      </c>
      <c r="I15" s="139" t="s">
        <v>14</v>
      </c>
    </row>
    <row r="16" spans="1:33" ht="32.25" customHeight="1" x14ac:dyDescent="0.25">
      <c r="A16" s="139"/>
      <c r="B16" s="139"/>
      <c r="C16" s="139"/>
      <c r="D16" s="139"/>
      <c r="E16" s="139"/>
      <c r="F16" s="139"/>
      <c r="G16" s="138"/>
      <c r="H16" s="138"/>
      <c r="I16" s="139"/>
    </row>
    <row r="17" spans="1:36" ht="15.75" x14ac:dyDescent="0.25">
      <c r="A17" s="12">
        <v>1</v>
      </c>
      <c r="B17" s="140">
        <v>2</v>
      </c>
      <c r="C17" s="140"/>
      <c r="D17" s="140"/>
      <c r="E17" s="13">
        <v>3</v>
      </c>
      <c r="F17" s="13">
        <v>4</v>
      </c>
      <c r="G17" s="13">
        <v>5</v>
      </c>
      <c r="H17" s="13">
        <v>6</v>
      </c>
      <c r="I17" s="12">
        <v>7</v>
      </c>
    </row>
    <row r="18" spans="1:36" ht="15.75" x14ac:dyDescent="0.25">
      <c r="A18" s="136"/>
      <c r="B18" s="136"/>
      <c r="C18" s="136"/>
      <c r="D18" s="136"/>
      <c r="E18" s="136"/>
      <c r="F18" s="136"/>
      <c r="G18" s="136"/>
      <c r="H18" s="136"/>
      <c r="I18" s="136"/>
      <c r="AH18" s="14" t="s">
        <v>15</v>
      </c>
    </row>
    <row r="19" spans="1:36" ht="15.75" customHeight="1" x14ac:dyDescent="0.25">
      <c r="A19" s="15" t="s">
        <v>16</v>
      </c>
      <c r="B19" s="133" t="s">
        <v>18</v>
      </c>
      <c r="C19" s="133"/>
      <c r="D19" s="133"/>
      <c r="E19" s="16" t="s">
        <v>19</v>
      </c>
      <c r="F19" s="17">
        <v>1</v>
      </c>
      <c r="G19" s="18">
        <f>2661301.67*1.1134*1.0666</f>
        <v>3160435.2917845743</v>
      </c>
      <c r="H19" s="18">
        <f t="shared" ref="H19:H36" si="0">F19*G19</f>
        <v>3160435.2917845743</v>
      </c>
      <c r="I19" s="19"/>
      <c r="AH19" s="14"/>
      <c r="AI19" s="3" t="s">
        <v>17</v>
      </c>
      <c r="AJ19" s="3" t="s">
        <v>18</v>
      </c>
    </row>
    <row r="20" spans="1:36" ht="15.75" customHeight="1" x14ac:dyDescent="0.25">
      <c r="A20" s="27">
        <f>A19+1</f>
        <v>2</v>
      </c>
      <c r="B20" s="133" t="s">
        <v>21</v>
      </c>
      <c r="C20" s="133"/>
      <c r="D20" s="133"/>
      <c r="E20" s="16" t="s">
        <v>19</v>
      </c>
      <c r="F20" s="17">
        <v>1</v>
      </c>
      <c r="G20" s="18">
        <f>2472753.51*1.1134*1.0666</f>
        <v>2936524.4643190643</v>
      </c>
      <c r="H20" s="18">
        <f t="shared" si="0"/>
        <v>2936524.4643190643</v>
      </c>
      <c r="I20" s="19"/>
      <c r="AH20" s="14"/>
      <c r="AI20" s="3" t="s">
        <v>20</v>
      </c>
      <c r="AJ20" s="3" t="s">
        <v>21</v>
      </c>
    </row>
    <row r="21" spans="1:36" ht="15.75" customHeight="1" x14ac:dyDescent="0.25">
      <c r="A21" s="27">
        <f t="shared" ref="A21:A37" si="1">A20+1</f>
        <v>3</v>
      </c>
      <c r="B21" s="133" t="s">
        <v>23</v>
      </c>
      <c r="C21" s="133"/>
      <c r="D21" s="133"/>
      <c r="E21" s="16" t="s">
        <v>19</v>
      </c>
      <c r="F21" s="17">
        <v>1</v>
      </c>
      <c r="G21" s="18">
        <f>9351054.85*1.1134*1.0666</f>
        <v>11104868.003691332</v>
      </c>
      <c r="H21" s="18">
        <f t="shared" si="0"/>
        <v>11104868.003691332</v>
      </c>
      <c r="I21" s="19"/>
      <c r="AH21" s="14"/>
      <c r="AI21" s="3" t="s">
        <v>22</v>
      </c>
      <c r="AJ21" s="3" t="s">
        <v>23</v>
      </c>
    </row>
    <row r="22" spans="1:36" ht="15.75" customHeight="1" x14ac:dyDescent="0.25">
      <c r="A22" s="27">
        <f t="shared" si="1"/>
        <v>4</v>
      </c>
      <c r="B22" s="133" t="s">
        <v>25</v>
      </c>
      <c r="C22" s="133"/>
      <c r="D22" s="133"/>
      <c r="E22" s="16" t="s">
        <v>19</v>
      </c>
      <c r="F22" s="17">
        <v>1</v>
      </c>
      <c r="G22" s="18">
        <f>25286310.49*1.1134*1.0666</f>
        <v>30028819.720997091</v>
      </c>
      <c r="H22" s="18">
        <f t="shared" si="0"/>
        <v>30028819.720997091</v>
      </c>
      <c r="I22" s="19"/>
      <c r="AH22" s="14"/>
      <c r="AI22" s="3" t="s">
        <v>24</v>
      </c>
      <c r="AJ22" s="3" t="s">
        <v>25</v>
      </c>
    </row>
    <row r="23" spans="1:36" ht="15.75" customHeight="1" x14ac:dyDescent="0.25">
      <c r="A23" s="27">
        <f t="shared" si="1"/>
        <v>5</v>
      </c>
      <c r="B23" s="133" t="s">
        <v>27</v>
      </c>
      <c r="C23" s="133"/>
      <c r="D23" s="133"/>
      <c r="E23" s="16" t="s">
        <v>19</v>
      </c>
      <c r="F23" s="17">
        <v>1</v>
      </c>
      <c r="G23" s="18">
        <f>1195976.38*1.1134*1.0666</f>
        <v>1420284.6682513671</v>
      </c>
      <c r="H23" s="18">
        <f t="shared" si="0"/>
        <v>1420284.6682513671</v>
      </c>
      <c r="I23" s="19"/>
      <c r="AH23" s="14"/>
      <c r="AI23" s="3" t="s">
        <v>26</v>
      </c>
      <c r="AJ23" s="3" t="s">
        <v>27</v>
      </c>
    </row>
    <row r="24" spans="1:36" ht="15.75" customHeight="1" x14ac:dyDescent="0.25">
      <c r="A24" s="27">
        <f t="shared" si="1"/>
        <v>6</v>
      </c>
      <c r="B24" s="133" t="s">
        <v>29</v>
      </c>
      <c r="C24" s="133"/>
      <c r="D24" s="133"/>
      <c r="E24" s="16" t="s">
        <v>19</v>
      </c>
      <c r="F24" s="17">
        <v>1</v>
      </c>
      <c r="G24" s="18">
        <f>4064317.27*1.1134*1.0666</f>
        <v>4826589.8909226386</v>
      </c>
      <c r="H24" s="18">
        <f t="shared" si="0"/>
        <v>4826589.8909226386</v>
      </c>
      <c r="I24" s="19"/>
      <c r="AH24" s="14"/>
      <c r="AI24" s="3" t="s">
        <v>28</v>
      </c>
      <c r="AJ24" s="3" t="s">
        <v>29</v>
      </c>
    </row>
    <row r="25" spans="1:36" ht="15.75" customHeight="1" x14ac:dyDescent="0.25">
      <c r="A25" s="27">
        <f t="shared" si="1"/>
        <v>7</v>
      </c>
      <c r="B25" s="133" t="s">
        <v>31</v>
      </c>
      <c r="C25" s="133"/>
      <c r="D25" s="133"/>
      <c r="E25" s="16" t="s">
        <v>19</v>
      </c>
      <c r="F25" s="17">
        <v>1</v>
      </c>
      <c r="G25" s="18">
        <f>6149194.76*1.1134*1.0666</f>
        <v>7302491.2412732141</v>
      </c>
      <c r="H25" s="18">
        <f t="shared" si="0"/>
        <v>7302491.2412732141</v>
      </c>
      <c r="I25" s="19"/>
      <c r="AH25" s="14"/>
      <c r="AI25" s="3" t="s">
        <v>30</v>
      </c>
      <c r="AJ25" s="3" t="s">
        <v>31</v>
      </c>
    </row>
    <row r="26" spans="1:36" ht="15.75" customHeight="1" x14ac:dyDescent="0.25">
      <c r="A26" s="27">
        <f t="shared" si="1"/>
        <v>8</v>
      </c>
      <c r="B26" s="133" t="s">
        <v>33</v>
      </c>
      <c r="C26" s="133"/>
      <c r="D26" s="133"/>
      <c r="E26" s="16" t="s">
        <v>19</v>
      </c>
      <c r="F26" s="17">
        <v>1</v>
      </c>
      <c r="G26" s="18">
        <f>5781733.51*1.1134*1.0666</f>
        <v>6866111.7372302637</v>
      </c>
      <c r="H26" s="18">
        <f t="shared" si="0"/>
        <v>6866111.7372302637</v>
      </c>
      <c r="I26" s="19"/>
      <c r="AH26" s="14"/>
      <c r="AI26" s="3" t="s">
        <v>32</v>
      </c>
      <c r="AJ26" s="3" t="s">
        <v>33</v>
      </c>
    </row>
    <row r="27" spans="1:36" ht="15.75" customHeight="1" x14ac:dyDescent="0.25">
      <c r="A27" s="27">
        <f t="shared" si="1"/>
        <v>9</v>
      </c>
      <c r="B27" s="133" t="s">
        <v>35</v>
      </c>
      <c r="C27" s="133"/>
      <c r="D27" s="133"/>
      <c r="E27" s="16" t="s">
        <v>19</v>
      </c>
      <c r="F27" s="17">
        <v>1</v>
      </c>
      <c r="G27" s="18">
        <f>694291.08*1.1134*1.0666</f>
        <v>824507.06612423516</v>
      </c>
      <c r="H27" s="18">
        <f t="shared" si="0"/>
        <v>824507.06612423516</v>
      </c>
      <c r="I27" s="19"/>
      <c r="AH27" s="14"/>
      <c r="AI27" s="3" t="s">
        <v>34</v>
      </c>
      <c r="AJ27" s="3" t="s">
        <v>35</v>
      </c>
    </row>
    <row r="28" spans="1:36" ht="31.5" x14ac:dyDescent="0.25">
      <c r="A28" s="27">
        <f t="shared" si="1"/>
        <v>10</v>
      </c>
      <c r="B28" s="133" t="s">
        <v>37</v>
      </c>
      <c r="C28" s="133"/>
      <c r="D28" s="133"/>
      <c r="E28" s="16" t="s">
        <v>19</v>
      </c>
      <c r="F28" s="17">
        <v>1</v>
      </c>
      <c r="G28" s="18">
        <f>1149537.7*1.1134*1.0666</f>
        <v>1365136.3005069878</v>
      </c>
      <c r="H28" s="18">
        <f t="shared" si="0"/>
        <v>1365136.3005069878</v>
      </c>
      <c r="I28" s="19"/>
      <c r="AH28" s="14"/>
      <c r="AI28" s="3" t="s">
        <v>36</v>
      </c>
      <c r="AJ28" s="3" t="s">
        <v>37</v>
      </c>
    </row>
    <row r="29" spans="1:36" ht="31.5" x14ac:dyDescent="0.25">
      <c r="A29" s="27">
        <f t="shared" si="1"/>
        <v>11</v>
      </c>
      <c r="B29" s="133" t="s">
        <v>39</v>
      </c>
      <c r="C29" s="133"/>
      <c r="D29" s="133"/>
      <c r="E29" s="16" t="s">
        <v>19</v>
      </c>
      <c r="F29" s="17">
        <v>1</v>
      </c>
      <c r="G29" s="18">
        <f>1377434.09*1.1134*1.0666</f>
        <v>1635775.2145186798</v>
      </c>
      <c r="H29" s="18">
        <f t="shared" si="0"/>
        <v>1635775.2145186798</v>
      </c>
      <c r="I29" s="19"/>
      <c r="AH29" s="14"/>
      <c r="AI29" s="3" t="s">
        <v>38</v>
      </c>
      <c r="AJ29" s="3" t="s">
        <v>39</v>
      </c>
    </row>
    <row r="30" spans="1:36" ht="15.75" customHeight="1" x14ac:dyDescent="0.25">
      <c r="A30" s="27">
        <f t="shared" si="1"/>
        <v>12</v>
      </c>
      <c r="B30" s="133" t="s">
        <v>41</v>
      </c>
      <c r="C30" s="133"/>
      <c r="D30" s="133"/>
      <c r="E30" s="16" t="s">
        <v>19</v>
      </c>
      <c r="F30" s="17">
        <v>1</v>
      </c>
      <c r="G30" s="18">
        <f>331239.26*1.1134*1.0666</f>
        <v>393363.9914367944</v>
      </c>
      <c r="H30" s="18">
        <f t="shared" si="0"/>
        <v>393363.9914367944</v>
      </c>
      <c r="I30" s="19"/>
      <c r="AH30" s="14"/>
      <c r="AI30" s="3" t="s">
        <v>40</v>
      </c>
      <c r="AJ30" s="3" t="s">
        <v>41</v>
      </c>
    </row>
    <row r="31" spans="1:36" ht="15.75" customHeight="1" x14ac:dyDescent="0.25">
      <c r="A31" s="27">
        <f t="shared" si="1"/>
        <v>13</v>
      </c>
      <c r="B31" s="133" t="s">
        <v>43</v>
      </c>
      <c r="C31" s="133"/>
      <c r="D31" s="133"/>
      <c r="E31" s="16" t="s">
        <v>19</v>
      </c>
      <c r="F31" s="17">
        <v>1</v>
      </c>
      <c r="G31" s="18">
        <f>936616*1.1134*1.0666</f>
        <v>1112280.6161430399</v>
      </c>
      <c r="H31" s="18">
        <f t="shared" si="0"/>
        <v>1112280.6161430399</v>
      </c>
      <c r="I31" s="19"/>
      <c r="AH31" s="14"/>
      <c r="AI31" s="3" t="s">
        <v>42</v>
      </c>
      <c r="AJ31" s="3" t="s">
        <v>43</v>
      </c>
    </row>
    <row r="32" spans="1:36" ht="15.75" customHeight="1" x14ac:dyDescent="0.25">
      <c r="A32" s="27">
        <f t="shared" si="1"/>
        <v>14</v>
      </c>
      <c r="B32" s="133" t="s">
        <v>57</v>
      </c>
      <c r="C32" s="133"/>
      <c r="D32" s="133"/>
      <c r="E32" s="16" t="s">
        <v>19</v>
      </c>
      <c r="F32" s="17">
        <v>1</v>
      </c>
      <c r="G32" s="18">
        <f>2005119.05*1.1134*1.0666</f>
        <v>2381184.020317982</v>
      </c>
      <c r="H32" s="18">
        <f t="shared" si="0"/>
        <v>2381184.020317982</v>
      </c>
      <c r="I32" s="19"/>
      <c r="AH32" s="14"/>
      <c r="AI32" s="3" t="s">
        <v>44</v>
      </c>
      <c r="AJ32" s="3" t="s">
        <v>45</v>
      </c>
    </row>
    <row r="33" spans="1:48" ht="15.75" customHeight="1" x14ac:dyDescent="0.25">
      <c r="A33" s="27">
        <f t="shared" si="1"/>
        <v>15</v>
      </c>
      <c r="B33" s="133" t="s">
        <v>45</v>
      </c>
      <c r="C33" s="133"/>
      <c r="D33" s="133"/>
      <c r="E33" s="16" t="s">
        <v>19</v>
      </c>
      <c r="F33" s="17">
        <v>1</v>
      </c>
      <c r="G33" s="18">
        <f>5384709.06*1.1134*1.0666</f>
        <v>6394624.382893105</v>
      </c>
      <c r="H33" s="18">
        <f t="shared" si="0"/>
        <v>6394624.382893105</v>
      </c>
      <c r="I33" s="19"/>
      <c r="AH33" s="14"/>
      <c r="AI33" s="3" t="s">
        <v>44</v>
      </c>
      <c r="AJ33" s="3" t="s">
        <v>45</v>
      </c>
    </row>
    <row r="34" spans="1:48" ht="15.75" customHeight="1" x14ac:dyDescent="0.25">
      <c r="A34" s="27">
        <f t="shared" si="1"/>
        <v>16</v>
      </c>
      <c r="B34" s="133" t="s">
        <v>47</v>
      </c>
      <c r="C34" s="133"/>
      <c r="D34" s="133"/>
      <c r="E34" s="16" t="s">
        <v>19</v>
      </c>
      <c r="F34" s="17">
        <v>1</v>
      </c>
      <c r="G34" s="18">
        <f>2303353.15*1.1134*1.0666</f>
        <v>2735352.6534641855</v>
      </c>
      <c r="H34" s="18">
        <f t="shared" si="0"/>
        <v>2735352.6534641855</v>
      </c>
      <c r="I34" s="19"/>
      <c r="AH34" s="14"/>
      <c r="AI34" s="3" t="s">
        <v>46</v>
      </c>
      <c r="AJ34" s="3" t="s">
        <v>47</v>
      </c>
    </row>
    <row r="35" spans="1:48" ht="15.75" customHeight="1" x14ac:dyDescent="0.25">
      <c r="A35" s="27">
        <f t="shared" si="1"/>
        <v>17</v>
      </c>
      <c r="B35" s="133" t="s">
        <v>49</v>
      </c>
      <c r="C35" s="133"/>
      <c r="D35" s="133"/>
      <c r="E35" s="16" t="s">
        <v>19</v>
      </c>
      <c r="F35" s="17">
        <v>1</v>
      </c>
      <c r="G35" s="18">
        <f>45591.39*1.1134*1.0666</f>
        <v>54142.166437491593</v>
      </c>
      <c r="H35" s="18">
        <f t="shared" si="0"/>
        <v>54142.166437491593</v>
      </c>
      <c r="I35" s="19"/>
      <c r="AH35" s="14"/>
      <c r="AI35" s="3" t="s">
        <v>48</v>
      </c>
      <c r="AJ35" s="3" t="s">
        <v>49</v>
      </c>
    </row>
    <row r="36" spans="1:48" ht="31.5" x14ac:dyDescent="0.25">
      <c r="A36" s="27">
        <f t="shared" si="1"/>
        <v>18</v>
      </c>
      <c r="B36" s="133" t="s">
        <v>51</v>
      </c>
      <c r="C36" s="133"/>
      <c r="D36" s="133"/>
      <c r="E36" s="16" t="s">
        <v>19</v>
      </c>
      <c r="F36" s="17">
        <v>1</v>
      </c>
      <c r="G36" s="18">
        <f>495156.77*1.1134*1.0666</f>
        <v>588024.63039601885</v>
      </c>
      <c r="H36" s="18">
        <f t="shared" si="0"/>
        <v>588024.63039601885</v>
      </c>
      <c r="I36" s="19"/>
      <c r="AH36" s="14"/>
      <c r="AI36" s="3" t="s">
        <v>50</v>
      </c>
      <c r="AJ36" s="3" t="s">
        <v>51</v>
      </c>
    </row>
    <row r="37" spans="1:48" ht="31.5" x14ac:dyDescent="0.25">
      <c r="A37" s="27">
        <f t="shared" si="1"/>
        <v>19</v>
      </c>
      <c r="B37" s="133" t="s">
        <v>58</v>
      </c>
      <c r="C37" s="133"/>
      <c r="D37" s="133"/>
      <c r="E37" s="16" t="s">
        <v>19</v>
      </c>
      <c r="F37" s="17">
        <v>1</v>
      </c>
      <c r="G37" s="18">
        <f>139880.31*1.02*1.1134*1.0666-0.01</f>
        <v>169437.49751742554</v>
      </c>
      <c r="H37" s="18">
        <f>F37*G37</f>
        <v>169437.49751742554</v>
      </c>
      <c r="I37" s="19"/>
      <c r="AH37" s="14"/>
      <c r="AI37" s="3" t="s">
        <v>50</v>
      </c>
      <c r="AJ37" s="3" t="s">
        <v>51</v>
      </c>
    </row>
    <row r="38" spans="1:48" ht="15.75" x14ac:dyDescent="0.25">
      <c r="A38" s="20"/>
      <c r="B38" s="134"/>
      <c r="C38" s="134"/>
      <c r="D38" s="134"/>
      <c r="E38" s="134"/>
      <c r="F38" s="134"/>
      <c r="G38" s="135"/>
      <c r="H38" s="21">
        <f>H19+H20+H21+H22+H23+H24+H25+H26+H27+H28+H29+H30+H31+H32+H33+H34+H35+H37+H36</f>
        <v>85299953.558225483</v>
      </c>
      <c r="I38" s="22"/>
      <c r="AH38" s="14"/>
      <c r="AK38" s="14" t="s">
        <v>52</v>
      </c>
    </row>
    <row r="39" spans="1:48" ht="52.5" customHeight="1" x14ac:dyDescent="0.25">
      <c r="A39" s="20"/>
      <c r="B39" s="134"/>
      <c r="C39" s="134"/>
      <c r="D39" s="134"/>
      <c r="E39" s="134"/>
      <c r="F39" s="134"/>
      <c r="G39" s="135"/>
      <c r="H39" s="21">
        <f>7732982.79*1.1134*1.0666</f>
        <v>9183322.5807425082</v>
      </c>
      <c r="I39" s="22"/>
      <c r="AH39" s="14"/>
      <c r="AK39" s="14"/>
      <c r="AL39" s="14" t="s">
        <v>53</v>
      </c>
    </row>
    <row r="40" spans="1:48" ht="15.75" x14ac:dyDescent="0.25">
      <c r="A40" s="20"/>
      <c r="B40" s="134"/>
      <c r="C40" s="134"/>
      <c r="D40" s="134"/>
      <c r="E40" s="134"/>
      <c r="F40" s="134"/>
      <c r="G40" s="135"/>
      <c r="H40" s="21">
        <f>H39+H38</f>
        <v>94483276.138967991</v>
      </c>
      <c r="I40" s="22"/>
      <c r="AM40" s="14" t="s">
        <v>54</v>
      </c>
      <c r="AN40" s="14" t="s">
        <v>4</v>
      </c>
      <c r="AO40" s="14" t="s">
        <v>4</v>
      </c>
      <c r="AP40" s="14" t="s">
        <v>4</v>
      </c>
      <c r="AQ40" s="14" t="s">
        <v>4</v>
      </c>
      <c r="AR40" s="14" t="s">
        <v>4</v>
      </c>
      <c r="AS40" s="14" t="s">
        <v>4</v>
      </c>
      <c r="AT40" s="14" t="s">
        <v>4</v>
      </c>
      <c r="AU40" s="14" t="s">
        <v>4</v>
      </c>
    </row>
    <row r="41" spans="1:48" ht="15.75" x14ac:dyDescent="0.25">
      <c r="A41" s="20"/>
      <c r="B41" s="134"/>
      <c r="C41" s="134"/>
      <c r="D41" s="134"/>
      <c r="E41" s="134"/>
      <c r="F41" s="134"/>
      <c r="G41" s="135"/>
      <c r="H41" s="21">
        <f>H40</f>
        <v>94483276.138967991</v>
      </c>
      <c r="I41" s="22"/>
      <c r="AM41" s="14"/>
      <c r="AN41" s="14"/>
      <c r="AO41" s="14"/>
      <c r="AP41" s="14"/>
      <c r="AQ41" s="14"/>
      <c r="AR41" s="14"/>
      <c r="AS41" s="14"/>
      <c r="AT41" s="14"/>
      <c r="AU41" s="14"/>
      <c r="AV41" s="14" t="s">
        <v>53</v>
      </c>
    </row>
    <row r="42" spans="1:48" ht="15.75" x14ac:dyDescent="0.25"/>
    <row r="43" spans="1:48" ht="15.75" x14ac:dyDescent="0.25"/>
    <row r="44" spans="1:48" ht="15" customHeight="1" x14ac:dyDescent="0.25">
      <c r="A44" s="1"/>
      <c r="B44" s="24" t="s">
        <v>55</v>
      </c>
      <c r="C44" s="24"/>
      <c r="D44" s="24"/>
      <c r="E44" s="24"/>
      <c r="F44" s="24"/>
      <c r="G44" s="24"/>
      <c r="H44" s="23"/>
    </row>
    <row r="45" spans="1:48" ht="15.75" x14ac:dyDescent="0.25">
      <c r="B45" s="132"/>
      <c r="C45" s="132"/>
      <c r="D45" s="132"/>
      <c r="E45" s="132"/>
      <c r="F45" s="132"/>
      <c r="G45" s="132"/>
      <c r="H45" s="132"/>
      <c r="I45" s="25"/>
    </row>
    <row r="46" spans="1:48" ht="15.75" x14ac:dyDescent="0.25">
      <c r="B46" s="5"/>
      <c r="C46" s="5"/>
      <c r="D46" s="5"/>
      <c r="E46" s="5"/>
      <c r="F46" s="5"/>
      <c r="G46" s="5"/>
      <c r="H46" s="5"/>
    </row>
    <row r="47" spans="1:48" ht="15" customHeight="1" x14ac:dyDescent="0.25">
      <c r="A47" s="1"/>
      <c r="B47" s="1" t="s">
        <v>56</v>
      </c>
      <c r="D47" s="26"/>
      <c r="E47" s="26"/>
      <c r="F47" s="26"/>
      <c r="H47" s="23"/>
    </row>
    <row r="48" spans="1:48" ht="15.75" x14ac:dyDescent="0.25">
      <c r="B48" s="132"/>
      <c r="C48" s="132"/>
      <c r="D48" s="132"/>
      <c r="E48" s="132"/>
      <c r="F48" s="132"/>
      <c r="G48" s="132"/>
      <c r="H48" s="132"/>
    </row>
    <row r="49" ht="15.75" x14ac:dyDescent="0.25"/>
    <row r="50" ht="15.75" x14ac:dyDescent="0.25"/>
    <row r="51" ht="15.75" x14ac:dyDescent="0.25"/>
  </sheetData>
  <mergeCells count="42">
    <mergeCell ref="H4:I4"/>
    <mergeCell ref="H5:I5"/>
    <mergeCell ref="H6:I6"/>
    <mergeCell ref="H7:I7"/>
    <mergeCell ref="A10:I10"/>
    <mergeCell ref="A12:I12"/>
    <mergeCell ref="A13:I13"/>
    <mergeCell ref="A7:B7"/>
    <mergeCell ref="A15:A16"/>
    <mergeCell ref="B15:D16"/>
    <mergeCell ref="E15:E16"/>
    <mergeCell ref="F15:F16"/>
    <mergeCell ref="G15:G16"/>
    <mergeCell ref="H15:H16"/>
    <mergeCell ref="I15:I16"/>
    <mergeCell ref="B17:D17"/>
    <mergeCell ref="A18:I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3:D33"/>
    <mergeCell ref="B48:H48"/>
    <mergeCell ref="B32:D32"/>
    <mergeCell ref="B36:D36"/>
    <mergeCell ref="B38:G38"/>
    <mergeCell ref="B39:G39"/>
    <mergeCell ref="B40:G40"/>
    <mergeCell ref="B41:G41"/>
    <mergeCell ref="B45:H45"/>
    <mergeCell ref="B34:D34"/>
    <mergeCell ref="B35:D35"/>
    <mergeCell ref="B37:D37"/>
  </mergeCells>
  <pageMargins left="0.78740155696868896" right="0.31496062874794001" top="0.31496062874794001" bottom="0.31496062874794001" header="0.19685038924217199" footer="0.19685038924217199"/>
  <pageSetup paperSize="9" scale="61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3"/>
  <sheetViews>
    <sheetView view="pageBreakPreview" zoomScale="80" zoomScaleNormal="80" zoomScaleSheetLayoutView="80" workbookViewId="0">
      <selection activeCell="B30" sqref="B30"/>
    </sheetView>
  </sheetViews>
  <sheetFormatPr defaultRowHeight="15" x14ac:dyDescent="0.25"/>
  <cols>
    <col min="1" max="1" width="48.7109375" style="28" customWidth="1"/>
    <col min="2" max="2" width="22" style="28" customWidth="1"/>
    <col min="3" max="3" width="14.5703125" style="28" customWidth="1"/>
    <col min="4" max="4" width="25.42578125" style="28" customWidth="1"/>
    <col min="5" max="5" width="14.7109375" style="28" customWidth="1"/>
    <col min="6" max="6" width="20.42578125" style="28" customWidth="1"/>
    <col min="7" max="7" width="13" style="28" hidden="1" customWidth="1"/>
    <col min="8" max="8" width="13.28515625" style="28" hidden="1" customWidth="1"/>
    <col min="9" max="9" width="14.85546875" style="28" hidden="1" customWidth="1"/>
    <col min="10" max="10" width="15.42578125" style="28" hidden="1" customWidth="1"/>
    <col min="11" max="11" width="19.85546875" style="28" hidden="1" customWidth="1"/>
    <col min="12" max="13" width="0" style="28" hidden="1" customWidth="1"/>
    <col min="14" max="14" width="11.7109375" style="28" hidden="1" customWidth="1"/>
    <col min="15" max="15" width="12.42578125" style="28" hidden="1" customWidth="1"/>
    <col min="16" max="19" width="0" style="28" hidden="1" customWidth="1"/>
    <col min="20" max="20" width="13.5703125" style="28" hidden="1" customWidth="1"/>
    <col min="21" max="21" width="15.140625" style="28" hidden="1" customWidth="1"/>
    <col min="22" max="22" width="14.42578125" style="28" hidden="1" customWidth="1"/>
    <col min="23" max="16384" width="9.140625" style="28"/>
  </cols>
  <sheetData>
    <row r="2" spans="1:21" ht="42.75" customHeight="1" x14ac:dyDescent="0.25">
      <c r="A2" s="165" t="s">
        <v>60</v>
      </c>
      <c r="B2" s="165"/>
      <c r="C2" s="165"/>
      <c r="D2" s="165"/>
      <c r="E2" s="165"/>
      <c r="F2" s="165"/>
    </row>
    <row r="3" spans="1:21" ht="20.25" customHeight="1" x14ac:dyDescent="0.25">
      <c r="A3" s="29"/>
      <c r="B3" s="29"/>
      <c r="C3" s="29"/>
      <c r="D3" s="29"/>
      <c r="E3" s="29"/>
      <c r="F3" s="29"/>
    </row>
    <row r="4" spans="1:21" ht="36" customHeight="1" x14ac:dyDescent="0.25">
      <c r="A4" s="30" t="s">
        <v>61</v>
      </c>
      <c r="B4" s="157" t="s">
        <v>59</v>
      </c>
      <c r="C4" s="157"/>
      <c r="D4" s="157"/>
      <c r="E4" s="157"/>
      <c r="F4" s="157"/>
    </row>
    <row r="5" spans="1:21" ht="15" customHeight="1" x14ac:dyDescent="0.25">
      <c r="A5" s="30" t="s">
        <v>62</v>
      </c>
      <c r="B5" s="157" t="s">
        <v>63</v>
      </c>
      <c r="C5" s="157"/>
      <c r="D5" s="157"/>
      <c r="E5" s="157"/>
      <c r="F5" s="157"/>
    </row>
    <row r="6" spans="1:21" ht="15" customHeight="1" x14ac:dyDescent="0.25">
      <c r="A6" s="30"/>
      <c r="B6" s="31"/>
      <c r="C6" s="31"/>
      <c r="D6" s="31"/>
      <c r="E6" s="31"/>
      <c r="F6" s="31"/>
    </row>
    <row r="7" spans="1:21" x14ac:dyDescent="0.25">
      <c r="A7" s="30" t="s">
        <v>64</v>
      </c>
      <c r="B7" s="32"/>
      <c r="C7" s="32"/>
      <c r="D7" s="32"/>
      <c r="E7" s="33"/>
      <c r="F7" s="32"/>
    </row>
    <row r="8" spans="1:21" x14ac:dyDescent="0.25">
      <c r="A8" s="164" t="s">
        <v>65</v>
      </c>
      <c r="B8" s="164"/>
      <c r="C8" s="164"/>
      <c r="D8" s="164"/>
      <c r="E8" s="164"/>
      <c r="F8" s="164"/>
    </row>
    <row r="9" spans="1:21" ht="30.75" customHeight="1" x14ac:dyDescent="0.25">
      <c r="A9" s="157" t="s">
        <v>66</v>
      </c>
      <c r="B9" s="157"/>
      <c r="C9" s="157"/>
      <c r="D9" s="157"/>
      <c r="E9" s="157"/>
      <c r="F9" s="157"/>
      <c r="I9" s="28">
        <v>2743.2</v>
      </c>
    </row>
    <row r="10" spans="1:21" x14ac:dyDescent="0.25">
      <c r="E10" s="34"/>
      <c r="F10" s="35"/>
      <c r="H10" s="36">
        <v>1</v>
      </c>
      <c r="I10" s="37">
        <v>168705.44</v>
      </c>
      <c r="J10" s="38">
        <v>100</v>
      </c>
    </row>
    <row r="11" spans="1:21" ht="93" customHeight="1" x14ac:dyDescent="0.25">
      <c r="A11" s="39" t="s">
        <v>67</v>
      </c>
      <c r="B11" s="39" t="s">
        <v>68</v>
      </c>
      <c r="C11" s="39" t="s">
        <v>69</v>
      </c>
      <c r="D11" s="39" t="s">
        <v>153</v>
      </c>
      <c r="E11" s="40" t="s">
        <v>70</v>
      </c>
      <c r="F11" s="39" t="s">
        <v>71</v>
      </c>
    </row>
    <row r="12" spans="1:21" x14ac:dyDescent="0.25">
      <c r="A12" s="39">
        <v>1</v>
      </c>
      <c r="B12" s="39">
        <v>2</v>
      </c>
      <c r="C12" s="39">
        <v>3</v>
      </c>
      <c r="D12" s="39">
        <v>4</v>
      </c>
      <c r="E12" s="40">
        <v>6</v>
      </c>
      <c r="F12" s="39">
        <v>7</v>
      </c>
      <c r="G12" s="38" t="s">
        <v>72</v>
      </c>
      <c r="H12" s="28" t="s">
        <v>73</v>
      </c>
      <c r="I12" s="38" t="s">
        <v>74</v>
      </c>
      <c r="J12" s="38" t="s">
        <v>75</v>
      </c>
      <c r="K12" s="28" t="s">
        <v>73</v>
      </c>
    </row>
    <row r="13" spans="1:21" s="51" customFormat="1" ht="27" customHeight="1" x14ac:dyDescent="0.25">
      <c r="A13" s="41" t="s">
        <v>76</v>
      </c>
      <c r="B13" s="42">
        <v>71685689.989999995</v>
      </c>
      <c r="C13" s="43">
        <f>B57</f>
        <v>1.1133999999999999</v>
      </c>
      <c r="D13" s="42">
        <f t="shared" ref="D13" si="0">ROUND(B13*C13,2)</f>
        <v>79814847.230000004</v>
      </c>
      <c r="E13" s="44">
        <f>F84</f>
        <v>1.0666</v>
      </c>
      <c r="F13" s="45">
        <f t="shared" ref="F13" si="1">ROUND(D13*E13,2)</f>
        <v>85130516.060000002</v>
      </c>
      <c r="G13" s="46" t="e">
        <f>F13+#REF!</f>
        <v>#REF!</v>
      </c>
      <c r="H13" s="47" t="e">
        <f t="shared" ref="H13" si="2">G13*1.2</f>
        <v>#REF!</v>
      </c>
      <c r="I13" s="48" t="e">
        <f>H13*#REF!/#REF!</f>
        <v>#REF!</v>
      </c>
      <c r="J13" s="49">
        <f>F13</f>
        <v>85130516.060000002</v>
      </c>
      <c r="K13" s="50">
        <f>J13*1.2</f>
        <v>102156619.272</v>
      </c>
      <c r="T13" s="52" t="e">
        <f>D13*(#REF!/100)*(E13/100)</f>
        <v>#REF!</v>
      </c>
      <c r="U13" s="52">
        <f>B13*(C13/100)</f>
        <v>798148.47234865988</v>
      </c>
    </row>
    <row r="14" spans="1:21" s="51" customFormat="1" ht="64.5" customHeight="1" x14ac:dyDescent="0.25">
      <c r="A14" s="41" t="s">
        <v>77</v>
      </c>
      <c r="B14" s="53">
        <v>142677.92000000001</v>
      </c>
      <c r="C14" s="43">
        <f>C13</f>
        <v>1.1133999999999999</v>
      </c>
      <c r="D14" s="42">
        <f>C13*B14</f>
        <v>158857.596128</v>
      </c>
      <c r="E14" s="44">
        <f>E13</f>
        <v>1.0666</v>
      </c>
      <c r="F14" s="45">
        <f>D14*E13</f>
        <v>169437.51203012481</v>
      </c>
      <c r="G14" s="54"/>
      <c r="H14" s="55"/>
      <c r="I14" s="56"/>
      <c r="J14" s="54"/>
    </row>
    <row r="15" spans="1:21" s="51" customFormat="1" ht="24" customHeight="1" x14ac:dyDescent="0.25">
      <c r="A15" s="57" t="s">
        <v>148</v>
      </c>
      <c r="B15" s="58">
        <f>SUM(B13:B14)</f>
        <v>71828367.909999996</v>
      </c>
      <c r="C15" s="43" t="s">
        <v>78</v>
      </c>
      <c r="D15" s="58">
        <f>SUM(D13:D14)</f>
        <v>79973704.826128006</v>
      </c>
      <c r="E15" s="59"/>
      <c r="F15" s="58">
        <f>SUM(F13:F14)</f>
        <v>85299953.572030127</v>
      </c>
    </row>
    <row r="16" spans="1:21" s="51" customFormat="1" ht="47.25" x14ac:dyDescent="0.25">
      <c r="A16" s="60" t="s">
        <v>79</v>
      </c>
      <c r="B16" s="61">
        <v>7732982.79</v>
      </c>
      <c r="C16" s="43">
        <f>C13</f>
        <v>1.1133999999999999</v>
      </c>
      <c r="D16" s="42">
        <f>ROUNDDOWN(B16*C16,2)</f>
        <v>8609903.0299999993</v>
      </c>
      <c r="E16" s="44">
        <f>E13</f>
        <v>1.0666</v>
      </c>
      <c r="F16" s="45">
        <f>ROUNDDOWN(D16*E16,2)</f>
        <v>9183322.5700000003</v>
      </c>
    </row>
    <row r="17" spans="1:17" s="51" customFormat="1" ht="63" x14ac:dyDescent="0.25">
      <c r="A17" s="62" t="s">
        <v>80</v>
      </c>
      <c r="B17" s="63">
        <f>B15+B16</f>
        <v>79561350.700000003</v>
      </c>
      <c r="C17" s="43"/>
      <c r="D17" s="64">
        <f>D15+D16</f>
        <v>88583607.856128007</v>
      </c>
      <c r="E17" s="44"/>
      <c r="F17" s="64">
        <f>F15+F16</f>
        <v>94483276.14203012</v>
      </c>
    </row>
    <row r="18" spans="1:17" s="51" customFormat="1" ht="15.75" x14ac:dyDescent="0.25">
      <c r="A18" s="65"/>
      <c r="B18" s="66"/>
      <c r="C18" s="67"/>
      <c r="D18" s="68"/>
      <c r="E18" s="69"/>
      <c r="F18" s="70"/>
    </row>
    <row r="19" spans="1:17" ht="17.25" customHeight="1" x14ac:dyDescent="0.25">
      <c r="A19" s="71"/>
      <c r="B19" s="72"/>
      <c r="C19" s="73"/>
      <c r="D19" s="74"/>
      <c r="E19" s="75"/>
      <c r="F19" s="74"/>
    </row>
    <row r="20" spans="1:17" ht="15" customHeight="1" x14ac:dyDescent="0.25">
      <c r="A20" s="76" t="s">
        <v>81</v>
      </c>
      <c r="B20" s="77" t="s">
        <v>82</v>
      </c>
      <c r="E20" s="34"/>
    </row>
    <row r="21" spans="1:17" x14ac:dyDescent="0.25">
      <c r="A21" s="78" t="s">
        <v>83</v>
      </c>
      <c r="B21" s="78" t="s">
        <v>84</v>
      </c>
      <c r="E21" s="34"/>
    </row>
    <row r="22" spans="1:17" x14ac:dyDescent="0.25">
      <c r="A22" s="78"/>
      <c r="B22" s="78"/>
      <c r="E22" s="34"/>
    </row>
    <row r="23" spans="1:17" s="87" customFormat="1" x14ac:dyDescent="0.2">
      <c r="A23" s="79" t="s">
        <v>85</v>
      </c>
      <c r="B23" s="80" t="s">
        <v>86</v>
      </c>
      <c r="C23" s="81">
        <v>1</v>
      </c>
      <c r="D23" s="82"/>
      <c r="E23" s="82"/>
      <c r="F23" s="83"/>
      <c r="G23" s="84"/>
      <c r="H23" s="84"/>
      <c r="I23" s="85"/>
      <c r="J23" s="85"/>
      <c r="K23" s="85"/>
      <c r="L23" s="85"/>
      <c r="M23" s="85"/>
      <c r="N23" s="85"/>
      <c r="O23" s="85"/>
      <c r="P23" s="86"/>
      <c r="Q23" s="86"/>
    </row>
    <row r="24" spans="1:17" x14ac:dyDescent="0.25">
      <c r="A24" s="88" t="s">
        <v>87</v>
      </c>
      <c r="B24" s="89" t="s">
        <v>88</v>
      </c>
      <c r="C24" s="90">
        <f>7/13</f>
        <v>0.53846153846153844</v>
      </c>
      <c r="E24" s="34"/>
    </row>
    <row r="25" spans="1:17" x14ac:dyDescent="0.25">
      <c r="A25" s="88" t="s">
        <v>89</v>
      </c>
      <c r="B25" s="89" t="s">
        <v>147</v>
      </c>
      <c r="C25" s="90">
        <f>6/13</f>
        <v>0.46153846153846156</v>
      </c>
      <c r="E25" s="34"/>
    </row>
    <row r="26" spans="1:17" x14ac:dyDescent="0.25">
      <c r="A26" s="78"/>
      <c r="B26" s="78"/>
      <c r="E26" s="34"/>
    </row>
    <row r="27" spans="1:17" ht="15.75" x14ac:dyDescent="0.25">
      <c r="A27" s="91" t="s">
        <v>90</v>
      </c>
      <c r="B27" s="78"/>
      <c r="E27" s="34"/>
    </row>
    <row r="28" spans="1:17" ht="31.5" x14ac:dyDescent="0.25">
      <c r="A28" s="91" t="s">
        <v>91</v>
      </c>
      <c r="B28" s="78" t="s">
        <v>92</v>
      </c>
      <c r="E28" s="34"/>
    </row>
    <row r="29" spans="1:17" ht="15.75" x14ac:dyDescent="0.25">
      <c r="A29" s="91" t="s">
        <v>93</v>
      </c>
      <c r="B29" s="92" t="s">
        <v>154</v>
      </c>
      <c r="E29" s="34"/>
    </row>
    <row r="30" spans="1:17" x14ac:dyDescent="0.25">
      <c r="A30" s="78"/>
      <c r="B30" s="92"/>
      <c r="E30" s="34"/>
    </row>
    <row r="31" spans="1:17" ht="15.75" customHeight="1" x14ac:dyDescent="0.25">
      <c r="A31" s="91" t="s">
        <v>94</v>
      </c>
      <c r="B31" s="91"/>
      <c r="C31" s="91"/>
      <c r="D31" s="91"/>
      <c r="E31" s="91"/>
      <c r="F31" s="91"/>
    </row>
    <row r="32" spans="1:17" ht="48.75" customHeight="1" x14ac:dyDescent="0.25">
      <c r="A32" s="164" t="s">
        <v>95</v>
      </c>
      <c r="B32" s="164"/>
      <c r="C32" s="164"/>
      <c r="D32" s="164"/>
      <c r="E32" s="164"/>
      <c r="F32" s="164"/>
    </row>
    <row r="33" spans="1:6" ht="25.5" customHeight="1" x14ac:dyDescent="0.25">
      <c r="A33" s="32"/>
      <c r="B33" s="32" t="s">
        <v>96</v>
      </c>
      <c r="C33" s="32"/>
      <c r="D33" s="32"/>
      <c r="E33" s="32"/>
      <c r="F33" s="32"/>
    </row>
    <row r="34" spans="1:6" ht="21" customHeight="1" x14ac:dyDescent="0.25">
      <c r="A34" s="93" t="s">
        <v>97</v>
      </c>
      <c r="B34" s="94">
        <f>[6]инд!D8</f>
        <v>100.8</v>
      </c>
      <c r="C34" s="32"/>
      <c r="D34" s="32"/>
      <c r="E34" s="32"/>
      <c r="F34" s="32"/>
    </row>
    <row r="35" spans="1:6" ht="21" customHeight="1" x14ac:dyDescent="0.25">
      <c r="A35" s="93" t="s">
        <v>98</v>
      </c>
      <c r="B35" s="94">
        <f>[6]инд!D9</f>
        <v>100.13</v>
      </c>
      <c r="C35" s="32"/>
      <c r="D35" s="32"/>
      <c r="E35" s="32"/>
      <c r="F35" s="32"/>
    </row>
    <row r="36" spans="1:6" ht="21" customHeight="1" x14ac:dyDescent="0.25">
      <c r="A36" s="93" t="s">
        <v>99</v>
      </c>
      <c r="B36" s="94">
        <f>[6]инд!D10</f>
        <v>101.12</v>
      </c>
      <c r="C36" s="32"/>
      <c r="D36" s="32"/>
      <c r="E36" s="32"/>
      <c r="F36" s="32"/>
    </row>
    <row r="37" spans="1:6" ht="21" customHeight="1" x14ac:dyDescent="0.25">
      <c r="A37" s="93" t="s">
        <v>100</v>
      </c>
      <c r="B37" s="94">
        <f>[6]инд!D11</f>
        <v>101.03</v>
      </c>
      <c r="C37" s="32"/>
      <c r="D37" s="32"/>
      <c r="E37" s="32"/>
      <c r="F37" s="32"/>
    </row>
    <row r="38" spans="1:6" ht="21.75" customHeight="1" x14ac:dyDescent="0.25">
      <c r="A38" s="93" t="s">
        <v>101</v>
      </c>
      <c r="B38" s="94">
        <f>[6]инд!D12</f>
        <v>100.73</v>
      </c>
      <c r="C38" s="32"/>
      <c r="D38" s="32"/>
      <c r="E38" s="32"/>
      <c r="F38" s="32"/>
    </row>
    <row r="39" spans="1:6" ht="21" customHeight="1" x14ac:dyDescent="0.25">
      <c r="A39" s="93" t="s">
        <v>102</v>
      </c>
      <c r="B39" s="94">
        <f>[6]инд!D13</f>
        <v>100.48</v>
      </c>
      <c r="C39" s="32"/>
      <c r="D39" s="32"/>
      <c r="E39" s="32"/>
      <c r="F39" s="32"/>
    </row>
    <row r="40" spans="1:6" ht="21" customHeight="1" x14ac:dyDescent="0.25">
      <c r="A40" s="93" t="s">
        <v>103</v>
      </c>
      <c r="B40" s="94">
        <f>[6]инд!D14</f>
        <v>100.57</v>
      </c>
      <c r="C40" s="32"/>
      <c r="D40" s="32"/>
      <c r="E40" s="32"/>
      <c r="F40" s="32"/>
    </row>
    <row r="41" spans="1:6" ht="21" customHeight="1" x14ac:dyDescent="0.25">
      <c r="A41" s="93" t="s">
        <v>104</v>
      </c>
      <c r="B41" s="94">
        <f>[6]инд!D15</f>
        <v>99.97</v>
      </c>
      <c r="C41" s="32"/>
      <c r="D41" s="32"/>
      <c r="E41" s="32"/>
      <c r="F41" s="32"/>
    </row>
    <row r="42" spans="1:6" ht="21" customHeight="1" x14ac:dyDescent="0.25">
      <c r="A42" s="93" t="s">
        <v>105</v>
      </c>
      <c r="B42" s="94">
        <f>[6]инд!D16</f>
        <v>100.61</v>
      </c>
      <c r="C42" s="32"/>
      <c r="D42" s="32"/>
      <c r="E42" s="32"/>
      <c r="F42" s="32"/>
    </row>
    <row r="43" spans="1:6" ht="21" customHeight="1" x14ac:dyDescent="0.25">
      <c r="A43" s="93" t="s">
        <v>106</v>
      </c>
      <c r="B43" s="94">
        <f>[6]инд!E5</f>
        <v>100.16</v>
      </c>
      <c r="C43" s="32"/>
      <c r="D43" s="32"/>
      <c r="E43" s="32"/>
      <c r="F43" s="32"/>
    </row>
    <row r="44" spans="1:6" ht="21" customHeight="1" x14ac:dyDescent="0.25">
      <c r="A44" s="93" t="s">
        <v>107</v>
      </c>
      <c r="B44" s="94">
        <f>[6]инд!E6</f>
        <v>100.59</v>
      </c>
      <c r="C44" s="95"/>
      <c r="D44" s="95"/>
      <c r="E44" s="95"/>
      <c r="F44" s="95"/>
    </row>
    <row r="45" spans="1:6" ht="21" customHeight="1" x14ac:dyDescent="0.25">
      <c r="A45" s="93" t="s">
        <v>108</v>
      </c>
      <c r="B45" s="94">
        <f>[6]инд!E7</f>
        <v>100.14</v>
      </c>
      <c r="C45" s="95"/>
      <c r="D45" s="95"/>
      <c r="E45" s="95"/>
      <c r="F45" s="95"/>
    </row>
    <row r="46" spans="1:6" ht="21" customHeight="1" x14ac:dyDescent="0.25">
      <c r="A46" s="93" t="s">
        <v>109</v>
      </c>
      <c r="B46" s="94">
        <f>[6]инд!E8</f>
        <v>100.42</v>
      </c>
      <c r="C46" s="95"/>
      <c r="D46" s="95"/>
      <c r="E46" s="95"/>
      <c r="F46" s="95"/>
    </row>
    <row r="47" spans="1:6" ht="21" customHeight="1" x14ac:dyDescent="0.25">
      <c r="A47" s="93" t="s">
        <v>110</v>
      </c>
      <c r="B47" s="94">
        <f>[6]инд!E9</f>
        <v>100.47</v>
      </c>
      <c r="C47" s="95"/>
      <c r="D47" s="95"/>
      <c r="E47" s="95"/>
      <c r="F47" s="95"/>
    </row>
    <row r="48" spans="1:6" ht="21" customHeight="1" x14ac:dyDescent="0.25">
      <c r="A48" s="93" t="s">
        <v>111</v>
      </c>
      <c r="B48" s="94">
        <f>[6]инд!E10</f>
        <v>100.21</v>
      </c>
      <c r="C48" s="95"/>
      <c r="D48" s="95"/>
      <c r="E48" s="95"/>
      <c r="F48" s="95"/>
    </row>
    <row r="49" spans="1:16" ht="21" customHeight="1" x14ac:dyDescent="0.25">
      <c r="A49" s="93" t="s">
        <v>112</v>
      </c>
      <c r="B49" s="94">
        <f>[6]инд!E11</f>
        <v>100.45</v>
      </c>
      <c r="C49" s="95"/>
      <c r="D49" s="95"/>
      <c r="E49" s="95"/>
      <c r="F49" s="95"/>
    </row>
    <row r="50" spans="1:16" ht="21.75" customHeight="1" x14ac:dyDescent="0.25">
      <c r="A50" s="93" t="s">
        <v>113</v>
      </c>
      <c r="B50" s="94">
        <f>[6]инд!E12</f>
        <v>100.32</v>
      </c>
      <c r="C50" s="32"/>
      <c r="D50" s="32"/>
      <c r="E50" s="32"/>
      <c r="F50" s="32"/>
    </row>
    <row r="51" spans="1:16" ht="21" customHeight="1" x14ac:dyDescent="0.25">
      <c r="A51" s="93" t="s">
        <v>114</v>
      </c>
      <c r="B51" s="94">
        <f>[6]инд!E13</f>
        <v>100.49</v>
      </c>
      <c r="C51" s="32"/>
      <c r="D51" s="32"/>
      <c r="E51" s="32"/>
      <c r="F51" s="32"/>
    </row>
    <row r="52" spans="1:16" ht="21" customHeight="1" x14ac:dyDescent="0.25">
      <c r="A52" s="93" t="s">
        <v>115</v>
      </c>
      <c r="B52" s="94">
        <f>[6]инд!E14</f>
        <v>100.64</v>
      </c>
      <c r="C52" s="32"/>
      <c r="D52" s="32"/>
      <c r="E52" s="32"/>
      <c r="F52" s="32"/>
    </row>
    <row r="53" spans="1:16" ht="21" customHeight="1" x14ac:dyDescent="0.25">
      <c r="A53" s="93" t="s">
        <v>116</v>
      </c>
      <c r="B53" s="94">
        <f>[6]инд!E15</f>
        <v>100.62</v>
      </c>
      <c r="C53" s="32"/>
      <c r="D53" s="32"/>
      <c r="E53" s="32"/>
      <c r="F53" s="32"/>
    </row>
    <row r="54" spans="1:16" ht="21" customHeight="1" x14ac:dyDescent="0.25">
      <c r="A54" s="93" t="s">
        <v>117</v>
      </c>
      <c r="B54" s="94">
        <f>[6]инд!E16</f>
        <v>100.48</v>
      </c>
      <c r="C54" s="32"/>
      <c r="D54" s="32"/>
      <c r="E54" s="32"/>
      <c r="F54" s="32"/>
    </row>
    <row r="55" spans="1:16" ht="21" customHeight="1" x14ac:dyDescent="0.25">
      <c r="A55" s="93" t="s">
        <v>118</v>
      </c>
      <c r="B55" s="94">
        <f>[6]инд!F5</f>
        <v>100.35</v>
      </c>
      <c r="C55" s="32"/>
      <c r="D55" s="32"/>
      <c r="E55" s="32"/>
      <c r="F55" s="32"/>
    </row>
    <row r="56" spans="1:16" ht="21" customHeight="1" x14ac:dyDescent="0.25">
      <c r="A56" s="93"/>
      <c r="B56" s="94"/>
      <c r="C56" s="32"/>
      <c r="D56" s="32"/>
      <c r="E56" s="32"/>
      <c r="F56" s="32"/>
    </row>
    <row r="57" spans="1:16" s="99" customFormat="1" ht="18" customHeight="1" x14ac:dyDescent="0.25">
      <c r="A57" s="96" t="s">
        <v>119</v>
      </c>
      <c r="B57" s="97">
        <f>ROUND((B34/100*B35/100*B36/100*B37/100*B38/100*B39/100*B40/100*B41/100*B42/100*B43/100*B44/100*B45/100*B46/100*B47/100*B48/100*B49/100*B50/100*B51/100*B52/100*B53/100*B54/100*B55/100),4)</f>
        <v>1.1133999999999999</v>
      </c>
      <c r="C57" s="98"/>
      <c r="E57" s="100"/>
      <c r="F57" s="100"/>
      <c r="G57" s="31"/>
      <c r="H57" s="101"/>
      <c r="I57" s="101"/>
      <c r="J57" s="101"/>
      <c r="K57" s="101"/>
      <c r="L57" s="101"/>
      <c r="M57" s="101"/>
      <c r="N57" s="101"/>
      <c r="O57" s="102"/>
      <c r="P57" s="102"/>
    </row>
    <row r="58" spans="1:16" s="99" customFormat="1" ht="36" customHeight="1" x14ac:dyDescent="0.25">
      <c r="A58" s="156" t="s">
        <v>120</v>
      </c>
      <c r="B58" s="156"/>
      <c r="C58" s="156"/>
      <c r="D58" s="156"/>
      <c r="E58" s="156"/>
      <c r="F58" s="156"/>
      <c r="H58" s="102"/>
      <c r="I58" s="102"/>
      <c r="J58" s="102"/>
      <c r="K58" s="102"/>
      <c r="L58" s="102"/>
      <c r="M58" s="102"/>
      <c r="N58" s="102"/>
      <c r="O58" s="102"/>
      <c r="P58" s="102"/>
    </row>
    <row r="59" spans="1:16" s="99" customFormat="1" ht="18" customHeight="1" x14ac:dyDescent="0.25">
      <c r="A59" s="103"/>
      <c r="B59" s="103"/>
      <c r="C59" s="103"/>
      <c r="D59" s="103"/>
      <c r="E59" s="103"/>
      <c r="F59" s="103"/>
      <c r="H59" s="102"/>
      <c r="I59" s="102"/>
      <c r="J59" s="102"/>
      <c r="K59" s="102"/>
      <c r="L59" s="102"/>
      <c r="M59" s="102"/>
      <c r="N59" s="102"/>
      <c r="O59" s="102"/>
      <c r="P59" s="102"/>
    </row>
    <row r="60" spans="1:16" s="99" customFormat="1" ht="19.5" customHeight="1" x14ac:dyDescent="0.25">
      <c r="A60" s="104" t="s">
        <v>121</v>
      </c>
      <c r="B60" s="104"/>
      <c r="C60" s="104"/>
      <c r="D60" s="104"/>
      <c r="E60" s="31"/>
      <c r="F60" s="31"/>
      <c r="G60" s="31"/>
      <c r="H60" s="101"/>
      <c r="I60" s="101"/>
      <c r="J60" s="101"/>
      <c r="K60" s="101"/>
      <c r="L60" s="101"/>
      <c r="M60" s="101"/>
      <c r="N60" s="101"/>
      <c r="O60" s="102"/>
      <c r="P60" s="102"/>
    </row>
    <row r="61" spans="1:16" s="99" customFormat="1" ht="65.25" customHeight="1" x14ac:dyDescent="0.25">
      <c r="A61" s="157" t="s">
        <v>122</v>
      </c>
      <c r="B61" s="157"/>
      <c r="C61" s="157"/>
      <c r="D61" s="157"/>
      <c r="E61" s="157"/>
      <c r="F61" s="157"/>
      <c r="G61" s="31"/>
      <c r="H61" s="101"/>
      <c r="I61" s="101"/>
      <c r="J61" s="101"/>
      <c r="K61" s="101"/>
      <c r="L61" s="101"/>
      <c r="M61" s="101"/>
      <c r="N61" s="101"/>
      <c r="O61" s="102"/>
      <c r="P61" s="102"/>
    </row>
    <row r="62" spans="1:16" s="99" customFormat="1" ht="16.5" customHeight="1" x14ac:dyDescent="0.25">
      <c r="A62" s="105" t="s">
        <v>123</v>
      </c>
      <c r="B62" s="106">
        <v>107.8</v>
      </c>
      <c r="C62" s="31"/>
      <c r="D62" s="31"/>
      <c r="E62" s="31"/>
      <c r="F62" s="31"/>
      <c r="H62" s="102"/>
      <c r="I62" s="102"/>
      <c r="J62" s="102"/>
      <c r="K62" s="102"/>
      <c r="L62" s="102"/>
      <c r="M62" s="102"/>
      <c r="N62" s="102"/>
      <c r="O62" s="102"/>
      <c r="P62" s="102"/>
    </row>
    <row r="63" spans="1:16" s="99" customFormat="1" ht="19.5" customHeight="1" x14ac:dyDescent="0.25">
      <c r="A63" s="105" t="s">
        <v>124</v>
      </c>
      <c r="B63" s="106">
        <v>105.3</v>
      </c>
      <c r="C63" s="107"/>
      <c r="D63" s="107"/>
      <c r="E63" s="107"/>
      <c r="F63" s="107"/>
      <c r="H63" s="102"/>
      <c r="I63" s="102"/>
      <c r="J63" s="102"/>
      <c r="K63" s="102"/>
      <c r="L63" s="102"/>
      <c r="M63" s="102"/>
      <c r="N63" s="102"/>
      <c r="O63" s="102"/>
      <c r="P63" s="102"/>
    </row>
    <row r="64" spans="1:16" s="109" customFormat="1" ht="14.25" customHeight="1" x14ac:dyDescent="0.25">
      <c r="A64" s="108" t="s">
        <v>125</v>
      </c>
      <c r="B64" s="108"/>
      <c r="C64" s="108"/>
      <c r="D64" s="108"/>
      <c r="E64" s="107"/>
      <c r="F64" s="107"/>
      <c r="H64" s="110"/>
      <c r="I64" s="110"/>
      <c r="J64" s="110"/>
      <c r="K64" s="110"/>
      <c r="L64" s="110"/>
      <c r="M64" s="110"/>
      <c r="N64" s="110"/>
      <c r="O64" s="110"/>
      <c r="P64" s="110"/>
    </row>
    <row r="65" spans="1:16" s="109" customFormat="1" ht="19.5" customHeight="1" x14ac:dyDescent="0.25">
      <c r="A65" s="105" t="s">
        <v>123</v>
      </c>
      <c r="B65" s="111">
        <f>ROUND(B62/100,4)</f>
        <v>1.0780000000000001</v>
      </c>
      <c r="C65" s="108"/>
      <c r="D65" s="108"/>
      <c r="E65" s="107"/>
      <c r="F65" s="107"/>
      <c r="H65" s="110"/>
      <c r="I65" s="110"/>
      <c r="J65" s="110"/>
      <c r="K65" s="110"/>
      <c r="L65" s="110"/>
      <c r="M65" s="110"/>
      <c r="N65" s="110"/>
      <c r="O65" s="110"/>
      <c r="P65" s="110"/>
    </row>
    <row r="66" spans="1:16" s="109" customFormat="1" ht="18" customHeight="1" x14ac:dyDescent="0.25">
      <c r="A66" s="105" t="s">
        <v>124</v>
      </c>
      <c r="B66" s="111">
        <f>ROUND(B63/100,4)</f>
        <v>1.0529999999999999</v>
      </c>
      <c r="C66" s="107"/>
      <c r="D66" s="107"/>
      <c r="E66" s="31"/>
      <c r="F66" s="31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1:16" s="109" customFormat="1" ht="33" customHeight="1" x14ac:dyDescent="0.25">
      <c r="A67" s="157" t="s">
        <v>126</v>
      </c>
      <c r="B67" s="157"/>
      <c r="C67" s="157"/>
      <c r="D67" s="157"/>
      <c r="E67" s="157"/>
      <c r="F67" s="157"/>
      <c r="H67" s="110"/>
      <c r="I67" s="110"/>
      <c r="J67" s="110"/>
      <c r="K67" s="110"/>
      <c r="L67" s="110"/>
      <c r="M67" s="110"/>
      <c r="N67" s="110"/>
      <c r="O67" s="110"/>
      <c r="P67" s="110"/>
    </row>
    <row r="68" spans="1:16" s="109" customFormat="1" ht="18.75" customHeight="1" x14ac:dyDescent="0.25">
      <c r="A68" s="105" t="s">
        <v>127</v>
      </c>
      <c r="B68" s="112">
        <f>ROUND(B65^(1/12),4)</f>
        <v>1.0063</v>
      </c>
      <c r="C68" s="31"/>
      <c r="D68" s="31"/>
      <c r="E68" s="31"/>
      <c r="F68" s="31"/>
      <c r="H68" s="110"/>
      <c r="I68" s="110"/>
      <c r="J68" s="110"/>
      <c r="K68" s="110"/>
      <c r="L68" s="110"/>
      <c r="M68" s="110"/>
      <c r="N68" s="110"/>
      <c r="O68" s="110"/>
      <c r="P68" s="110"/>
    </row>
    <row r="69" spans="1:16" s="109" customFormat="1" ht="18" customHeight="1" x14ac:dyDescent="0.25">
      <c r="A69" s="105" t="s">
        <v>128</v>
      </c>
      <c r="B69" s="112">
        <f>ROUND(B66^(1/12),4)</f>
        <v>1.0043</v>
      </c>
      <c r="C69" s="108"/>
      <c r="D69" s="107"/>
      <c r="E69" s="107"/>
      <c r="F69" s="107"/>
      <c r="H69" s="110"/>
      <c r="I69" s="110"/>
      <c r="J69" s="110"/>
      <c r="K69" s="110"/>
      <c r="L69" s="110"/>
      <c r="M69" s="110"/>
      <c r="N69" s="110"/>
      <c r="O69" s="110"/>
      <c r="P69" s="110"/>
    </row>
    <row r="70" spans="1:16" s="99" customFormat="1" ht="34.5" customHeight="1" x14ac:dyDescent="0.25">
      <c r="A70" s="158" t="s">
        <v>129</v>
      </c>
      <c r="B70" s="158"/>
      <c r="C70" s="158"/>
      <c r="D70" s="158"/>
      <c r="E70" s="158"/>
      <c r="F70" s="158"/>
    </row>
    <row r="71" spans="1:16" s="99" customFormat="1" ht="20.25" customHeight="1" x14ac:dyDescent="0.25">
      <c r="A71" s="159" t="s">
        <v>130</v>
      </c>
      <c r="B71" s="159"/>
      <c r="C71" s="159"/>
      <c r="D71" s="159"/>
      <c r="E71" s="159"/>
      <c r="F71" s="159"/>
    </row>
    <row r="72" spans="1:16" s="99" customFormat="1" ht="108.75" customHeight="1" x14ac:dyDescent="0.25">
      <c r="A72" s="153" t="s">
        <v>131</v>
      </c>
      <c r="B72" s="154"/>
      <c r="C72" s="154"/>
      <c r="D72" s="155"/>
      <c r="E72" s="113" t="s">
        <v>132</v>
      </c>
      <c r="F72" s="114">
        <f>ROUND(POWER(B68,4),4)</f>
        <v>1.0254000000000001</v>
      </c>
    </row>
    <row r="73" spans="1:16" ht="107.25" customHeight="1" x14ac:dyDescent="0.25">
      <c r="A73" s="153" t="s">
        <v>133</v>
      </c>
      <c r="B73" s="154"/>
      <c r="C73" s="154"/>
      <c r="D73" s="155"/>
      <c r="E73" s="115" t="s">
        <v>134</v>
      </c>
      <c r="F73" s="116">
        <f>ROUND(POWER(B68,11),4)</f>
        <v>1.0714999999999999</v>
      </c>
    </row>
    <row r="74" spans="1:16" ht="19.5" customHeight="1" x14ac:dyDescent="0.25">
      <c r="A74" s="149" t="s">
        <v>135</v>
      </c>
      <c r="B74" s="150"/>
      <c r="C74" s="150"/>
      <c r="D74" s="150"/>
      <c r="E74" s="151"/>
      <c r="F74" s="117">
        <f>ROUND((F72+F73)/2,4)</f>
        <v>1.0485</v>
      </c>
    </row>
    <row r="75" spans="1:16" x14ac:dyDescent="0.25">
      <c r="A75" s="32"/>
      <c r="B75" s="32"/>
      <c r="C75" s="32"/>
      <c r="D75" s="32"/>
      <c r="E75" s="32"/>
      <c r="F75" s="32"/>
    </row>
    <row r="76" spans="1:16" ht="34.5" customHeight="1" x14ac:dyDescent="0.25">
      <c r="A76" s="160" t="s">
        <v>136</v>
      </c>
      <c r="B76" s="160"/>
      <c r="C76" s="160"/>
      <c r="D76" s="160"/>
      <c r="E76" s="160"/>
      <c r="F76" s="160"/>
    </row>
    <row r="77" spans="1:16" ht="105" customHeight="1" x14ac:dyDescent="0.25">
      <c r="A77" s="161" t="s">
        <v>137</v>
      </c>
      <c r="B77" s="162"/>
      <c r="C77" s="162"/>
      <c r="D77" s="163"/>
      <c r="E77" s="115" t="s">
        <v>134</v>
      </c>
      <c r="F77" s="118">
        <f>ROUND(POWER(B68,11),4)</f>
        <v>1.0714999999999999</v>
      </c>
    </row>
    <row r="78" spans="1:16" ht="105" customHeight="1" x14ac:dyDescent="0.25">
      <c r="A78" s="153" t="s">
        <v>138</v>
      </c>
      <c r="B78" s="154"/>
      <c r="C78" s="154"/>
      <c r="D78" s="155"/>
      <c r="E78" s="115" t="s">
        <v>139</v>
      </c>
      <c r="F78" s="116">
        <f>ROUND(POWER(B69,1),4)</f>
        <v>1.0043</v>
      </c>
    </row>
    <row r="79" spans="1:16" ht="105" customHeight="1" x14ac:dyDescent="0.25">
      <c r="A79" s="153" t="s">
        <v>140</v>
      </c>
      <c r="B79" s="154"/>
      <c r="C79" s="154"/>
      <c r="D79" s="155"/>
      <c r="E79" s="115" t="s">
        <v>141</v>
      </c>
      <c r="F79" s="119">
        <f>ROUND(POWER(B69,6),4)</f>
        <v>1.0261</v>
      </c>
    </row>
    <row r="80" spans="1:16" s="120" customFormat="1" ht="22.5" customHeight="1" x14ac:dyDescent="0.2">
      <c r="A80" s="149" t="s">
        <v>142</v>
      </c>
      <c r="B80" s="150"/>
      <c r="C80" s="150"/>
      <c r="D80" s="150"/>
      <c r="E80" s="151"/>
      <c r="F80" s="117">
        <f>ROUND((F78+F79)/2,4)</f>
        <v>1.0152000000000001</v>
      </c>
    </row>
    <row r="81" spans="1:6" s="120" customFormat="1" ht="22.5" customHeight="1" x14ac:dyDescent="0.2">
      <c r="A81" s="149" t="s">
        <v>143</v>
      </c>
      <c r="B81" s="150"/>
      <c r="C81" s="150"/>
      <c r="D81" s="150"/>
      <c r="E81" s="151"/>
      <c r="F81" s="117">
        <f>ROUND(F77*F80,4)</f>
        <v>1.0878000000000001</v>
      </c>
    </row>
    <row r="82" spans="1:6" x14ac:dyDescent="0.25">
      <c r="E82" s="34"/>
    </row>
    <row r="83" spans="1:6" x14ac:dyDescent="0.25">
      <c r="A83" s="121" t="s">
        <v>144</v>
      </c>
      <c r="B83" s="121"/>
      <c r="C83" s="121"/>
      <c r="D83" s="121"/>
      <c r="E83" s="34"/>
    </row>
    <row r="84" spans="1:6" x14ac:dyDescent="0.25">
      <c r="A84" s="122"/>
      <c r="B84" s="122"/>
      <c r="C84" s="122"/>
      <c r="D84" s="122"/>
      <c r="E84" s="34"/>
      <c r="F84" s="123">
        <f>ROUND(F74*C24+F81*C25,4)</f>
        <v>1.0666</v>
      </c>
    </row>
    <row r="85" spans="1:6" x14ac:dyDescent="0.25">
      <c r="B85" s="28" t="s">
        <v>145</v>
      </c>
      <c r="E85" s="34"/>
    </row>
    <row r="86" spans="1:6" ht="15.75" customHeight="1" x14ac:dyDescent="0.25">
      <c r="A86" s="91" t="s">
        <v>146</v>
      </c>
      <c r="B86" s="91"/>
      <c r="C86" s="91"/>
      <c r="D86" s="91"/>
      <c r="E86" s="124"/>
      <c r="F86" s="125"/>
    </row>
    <row r="87" spans="1:6" ht="15.75" x14ac:dyDescent="0.25">
      <c r="A87" s="125"/>
      <c r="B87" s="125"/>
      <c r="C87" s="125"/>
      <c r="D87" s="125"/>
      <c r="E87" s="124"/>
      <c r="F87" s="125"/>
    </row>
    <row r="88" spans="1:6" ht="35.25" customHeight="1" x14ac:dyDescent="0.25">
      <c r="A88" s="126" t="s">
        <v>149</v>
      </c>
      <c r="B88" s="127"/>
      <c r="C88" s="128"/>
      <c r="D88" s="128"/>
      <c r="E88" s="152" t="s">
        <v>150</v>
      </c>
      <c r="F88" s="152"/>
    </row>
    <row r="89" spans="1:6" ht="15.75" x14ac:dyDescent="0.25">
      <c r="A89" s="125"/>
      <c r="B89" s="125"/>
      <c r="C89" s="125"/>
      <c r="D89" s="125"/>
      <c r="E89" s="129"/>
      <c r="F89" s="125"/>
    </row>
    <row r="90" spans="1:6" ht="33" customHeight="1" x14ac:dyDescent="0.25">
      <c r="A90" s="130"/>
      <c r="B90" s="130"/>
      <c r="C90" s="147"/>
      <c r="D90" s="147"/>
      <c r="E90" s="147"/>
      <c r="F90" s="147"/>
    </row>
    <row r="91" spans="1:6" ht="15.75" x14ac:dyDescent="0.25">
      <c r="A91" s="130"/>
      <c r="B91" s="130"/>
      <c r="C91" s="148"/>
      <c r="D91" s="148"/>
      <c r="E91" s="147"/>
      <c r="F91" s="147"/>
    </row>
    <row r="92" spans="1:6" ht="35.25" customHeight="1" x14ac:dyDescent="0.25">
      <c r="A92" s="130"/>
      <c r="B92" s="130"/>
      <c r="C92" s="147"/>
      <c r="D92" s="147"/>
      <c r="E92" s="147"/>
      <c r="F92" s="147"/>
    </row>
    <row r="93" spans="1:6" ht="15.75" x14ac:dyDescent="0.25">
      <c r="A93" s="130"/>
      <c r="B93" s="130"/>
      <c r="C93" s="148"/>
      <c r="D93" s="148"/>
      <c r="E93" s="148"/>
      <c r="F93" s="148"/>
    </row>
  </sheetData>
  <mergeCells count="29">
    <mergeCell ref="A32:F32"/>
    <mergeCell ref="A2:F2"/>
    <mergeCell ref="B4:F4"/>
    <mergeCell ref="B5:F5"/>
    <mergeCell ref="A8:F8"/>
    <mergeCell ref="A9:F9"/>
    <mergeCell ref="A79:D79"/>
    <mergeCell ref="A58:F58"/>
    <mergeCell ref="A61:F61"/>
    <mergeCell ref="A67:F67"/>
    <mergeCell ref="A70:F70"/>
    <mergeCell ref="A71:F71"/>
    <mergeCell ref="A72:D72"/>
    <mergeCell ref="A73:D73"/>
    <mergeCell ref="A74:E74"/>
    <mergeCell ref="A76:F76"/>
    <mergeCell ref="A77:D77"/>
    <mergeCell ref="A78:D78"/>
    <mergeCell ref="C92:D92"/>
    <mergeCell ref="E92:F92"/>
    <mergeCell ref="C93:D93"/>
    <mergeCell ref="E93:F93"/>
    <mergeCell ref="A80:E80"/>
    <mergeCell ref="A81:E81"/>
    <mergeCell ref="E88:F88"/>
    <mergeCell ref="C90:D90"/>
    <mergeCell ref="E90:F90"/>
    <mergeCell ref="C91:D91"/>
    <mergeCell ref="E91:F91"/>
  </mergeCells>
  <pageMargins left="0.39370078740157483" right="0.19685039370078741" top="0.31496062992125984" bottom="0.23622047244094491" header="0.35433070866141736" footer="0.31496062992125984"/>
  <pageSetup paperSize="9" scale="64" fitToHeight="13" orientation="portrait" r:id="rId1"/>
  <rowBreaks count="1" manualBreakCount="1">
    <brk id="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Смета контр </vt:lpstr>
      <vt:lpstr>Расчет НМЦК</vt:lpstr>
      <vt:lpstr>'Смета контр '!Заголовки_для_печати</vt:lpstr>
      <vt:lpstr>'Расчет НМЦК'!Область_печати</vt:lpstr>
      <vt:lpstr>'Смета контр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2025-04-08T09:55:39Z</cp:lastPrinted>
  <dcterms:created xsi:type="dcterms:W3CDTF">2020-09-30T08:50:27Z</dcterms:created>
  <dcterms:modified xsi:type="dcterms:W3CDTF">2025-04-08T10:02:31Z</dcterms:modified>
</cp:coreProperties>
</file>